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2"/>
  <workbookPr/>
  <mc:AlternateContent xmlns:mc="http://schemas.openxmlformats.org/markup-compatibility/2006">
    <mc:Choice Requires="x15">
      <x15ac:absPath xmlns:x15ac="http://schemas.microsoft.com/office/spreadsheetml/2010/11/ac" url="/Users/salihunal/Downloads/hvac excel indir_2/"/>
    </mc:Choice>
  </mc:AlternateContent>
  <xr:revisionPtr revIDLastSave="0" documentId="13_ncr:1_{A70DEA4A-0C66-4E4C-854F-22EF55C1AF9E}" xr6:coauthVersionLast="47" xr6:coauthVersionMax="47" xr10:uidLastSave="{00000000-0000-0000-0000-000000000000}"/>
  <bookViews>
    <workbookView xWindow="0" yWindow="880" windowWidth="23360" windowHeight="19660" activeTab="1" xr2:uid="{00000000-000D-0000-FFFF-FFFF00000000}"/>
  </bookViews>
  <sheets>
    <sheet name="COVER" sheetId="1" r:id="rId1"/>
    <sheet name="INPUTS" sheetId="2" r:id="rId2"/>
    <sheet name="WEATHER" sheetId="3" r:id="rId3"/>
    <sheet name="CALC" sheetId="4" r:id="rId4"/>
    <sheet name="DASHBOARD" sheetId="5" r:id="rId5"/>
    <sheet name="METRICS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0" i="5" l="1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F43" i="4"/>
  <c r="F42" i="4"/>
  <c r="F41" i="4"/>
  <c r="F40" i="4"/>
  <c r="F39" i="4"/>
  <c r="F38" i="4"/>
  <c r="F37" i="4"/>
  <c r="F36" i="4"/>
  <c r="D33" i="5" s="1"/>
  <c r="F35" i="4"/>
  <c r="F34" i="4"/>
  <c r="F33" i="4"/>
  <c r="F32" i="4"/>
  <c r="F31" i="4"/>
  <c r="F30" i="4"/>
  <c r="F29" i="4"/>
  <c r="F28" i="4"/>
  <c r="F27" i="4"/>
  <c r="D24" i="5" s="1"/>
  <c r="F26" i="4"/>
  <c r="D23" i="5" s="1"/>
  <c r="F25" i="4"/>
  <c r="F24" i="4"/>
  <c r="F23" i="4"/>
  <c r="F22" i="4"/>
  <c r="F21" i="4"/>
  <c r="F20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46" i="3" a="1"/>
  <c r="D46" i="3" s="1"/>
  <c r="C43" i="4" s="1"/>
  <c r="D45" i="3" a="1"/>
  <c r="D45" i="3" s="1"/>
  <c r="C39" i="5" s="1"/>
  <c r="D44" i="3" a="1"/>
  <c r="D44" i="3" s="1"/>
  <c r="C41" i="4" s="1"/>
  <c r="D43" i="3" a="1"/>
  <c r="D43" i="3" s="1"/>
  <c r="C40" i="4" s="1"/>
  <c r="D42" i="3"/>
  <c r="D42" i="3" a="1"/>
  <c r="D41" i="3" a="1"/>
  <c r="D41" i="3" s="1"/>
  <c r="C35" i="5" s="1"/>
  <c r="D40" i="3" a="1"/>
  <c r="D40" i="3" s="1"/>
  <c r="C34" i="5" s="1"/>
  <c r="D39" i="3" a="1"/>
  <c r="D39" i="3" s="1"/>
  <c r="C33" i="5" s="1"/>
  <c r="D38" i="3" a="1"/>
  <c r="D38" i="3" s="1"/>
  <c r="C35" i="4" s="1"/>
  <c r="D37" i="3"/>
  <c r="C31" i="5" s="1"/>
  <c r="D37" i="3" a="1"/>
  <c r="D36" i="3" a="1"/>
  <c r="D36" i="3" s="1"/>
  <c r="C33" i="4" s="1"/>
  <c r="D35" i="3" a="1"/>
  <c r="D35" i="3" s="1"/>
  <c r="C29" i="5" s="1"/>
  <c r="D34" i="3" a="1"/>
  <c r="D34" i="3" s="1"/>
  <c r="C31" i="4" s="1"/>
  <c r="D33" i="3" a="1"/>
  <c r="D33" i="3" s="1"/>
  <c r="C30" i="4" s="1"/>
  <c r="D32" i="3"/>
  <c r="D32" i="3" a="1"/>
  <c r="D31" i="3" a="1"/>
  <c r="D31" i="3" s="1"/>
  <c r="C25" i="5" s="1"/>
  <c r="D30" i="3" a="1"/>
  <c r="D30" i="3" s="1"/>
  <c r="C24" i="5" s="1"/>
  <c r="D29" i="3" a="1"/>
  <c r="D29" i="3" s="1"/>
  <c r="C23" i="5" s="1"/>
  <c r="D28" i="3" a="1"/>
  <c r="D28" i="3" s="1"/>
  <c r="C25" i="4" s="1"/>
  <c r="D27" i="3"/>
  <c r="D27" i="3" a="1"/>
  <c r="D26" i="3" a="1"/>
  <c r="D26" i="3" s="1"/>
  <c r="C23" i="4" s="1"/>
  <c r="D25" i="3" a="1"/>
  <c r="D25" i="3" s="1"/>
  <c r="C19" i="5" s="1"/>
  <c r="D24" i="3" a="1"/>
  <c r="D24" i="3" s="1"/>
  <c r="C21" i="4" s="1"/>
  <c r="D23" i="3" a="1"/>
  <c r="D23" i="3" s="1"/>
  <c r="C20" i="4" s="1"/>
  <c r="E19" i="3" a="1"/>
  <c r="E19" i="3"/>
  <c r="E18" i="3" a="1"/>
  <c r="E18" i="3"/>
  <c r="E17" i="3" a="1"/>
  <c r="E17" i="3"/>
  <c r="E16" i="3" a="1"/>
  <c r="E16" i="3"/>
  <c r="E15" i="3" a="1"/>
  <c r="E15" i="3" s="1"/>
  <c r="E14" i="3" a="1"/>
  <c r="E14" i="3" s="1"/>
  <c r="E13" i="3" a="1"/>
  <c r="E13" i="3" s="1"/>
  <c r="E12" i="3" a="1"/>
  <c r="E12" i="3" s="1"/>
  <c r="E11" i="3" a="1"/>
  <c r="E11" i="3"/>
  <c r="E10" i="3" a="1"/>
  <c r="E10" i="3" s="1"/>
  <c r="E9" i="3" a="1"/>
  <c r="E9" i="3" s="1"/>
  <c r="E8" i="3" a="1"/>
  <c r="E8" i="3" s="1"/>
  <c r="D19" i="3" a="1"/>
  <c r="D19" i="3"/>
  <c r="D18" i="3" a="1"/>
  <c r="D18" i="3"/>
  <c r="D17" i="3" a="1"/>
  <c r="D17" i="3" s="1"/>
  <c r="D16" i="3" a="1"/>
  <c r="D16" i="3"/>
  <c r="D15" i="3" a="1"/>
  <c r="D15" i="3"/>
  <c r="D14" i="3" a="1"/>
  <c r="D14" i="3" s="1"/>
  <c r="D13" i="3" a="1"/>
  <c r="D13" i="3"/>
  <c r="D12" i="3" a="1"/>
  <c r="D12" i="3"/>
  <c r="D11" i="3" a="1"/>
  <c r="D11" i="3"/>
  <c r="D10" i="3" a="1"/>
  <c r="D10" i="3" s="1"/>
  <c r="D9" i="3" a="1"/>
  <c r="D9" i="3" s="1"/>
  <c r="D8" i="3" a="1"/>
  <c r="D8" i="3" s="1"/>
  <c r="C19" i="3" a="1"/>
  <c r="C19" i="3"/>
  <c r="C18" i="3" a="1"/>
  <c r="C18" i="3"/>
  <c r="C17" i="3" a="1"/>
  <c r="C17" i="3" s="1"/>
  <c r="C16" i="3" a="1"/>
  <c r="C16" i="3"/>
  <c r="C15" i="3" a="1"/>
  <c r="C15" i="3"/>
  <c r="C14" i="3" a="1"/>
  <c r="C14" i="3"/>
  <c r="C13" i="3" a="1"/>
  <c r="C13" i="3"/>
  <c r="C12" i="3" a="1"/>
  <c r="C12" i="3"/>
  <c r="C11" i="3" a="1"/>
  <c r="C11" i="3"/>
  <c r="C10" i="3" a="1"/>
  <c r="C10" i="3" s="1"/>
  <c r="C9" i="3" a="1"/>
  <c r="C9" i="3" s="1"/>
  <c r="C8" i="3" a="1"/>
  <c r="C8" i="3" s="1"/>
  <c r="D40" i="5"/>
  <c r="E43" i="4"/>
  <c r="D39" i="5"/>
  <c r="E42" i="4"/>
  <c r="D38" i="5"/>
  <c r="E41" i="4"/>
  <c r="G40" i="4"/>
  <c r="E40" i="4"/>
  <c r="D36" i="5"/>
  <c r="E39" i="4"/>
  <c r="G38" i="4"/>
  <c r="E38" i="4"/>
  <c r="D34" i="5"/>
  <c r="E37" i="4"/>
  <c r="E36" i="4"/>
  <c r="D32" i="5"/>
  <c r="E35" i="4"/>
  <c r="D31" i="5"/>
  <c r="E34" i="4"/>
  <c r="D30" i="5"/>
  <c r="E33" i="4"/>
  <c r="D29" i="5"/>
  <c r="E32" i="4"/>
  <c r="D28" i="5"/>
  <c r="E31" i="4"/>
  <c r="G30" i="4"/>
  <c r="E30" i="4"/>
  <c r="D26" i="5"/>
  <c r="E29" i="4"/>
  <c r="G28" i="4"/>
  <c r="E28" i="4"/>
  <c r="E27" i="4"/>
  <c r="E26" i="4"/>
  <c r="D22" i="5"/>
  <c r="E25" i="4"/>
  <c r="D21" i="5"/>
  <c r="E24" i="4"/>
  <c r="D20" i="5"/>
  <c r="E23" i="4"/>
  <c r="D19" i="5"/>
  <c r="E22" i="4"/>
  <c r="D18" i="5"/>
  <c r="E21" i="4"/>
  <c r="G20" i="4"/>
  <c r="E20" i="4"/>
  <c r="C36" i="5"/>
  <c r="C26" i="5"/>
  <c r="C21" i="5"/>
  <c r="G19" i="3"/>
  <c r="G18" i="3"/>
  <c r="G17" i="3"/>
  <c r="G16" i="3"/>
  <c r="G15" i="3"/>
  <c r="G14" i="3"/>
  <c r="G13" i="3"/>
  <c r="G12" i="3"/>
  <c r="G11" i="3"/>
  <c r="G10" i="3"/>
  <c r="G9" i="3"/>
  <c r="G8" i="3"/>
  <c r="C36" i="2"/>
  <c r="C35" i="2"/>
  <c r="C34" i="2"/>
  <c r="C32" i="2"/>
  <c r="E32" i="2" s="1"/>
  <c r="E31" i="2"/>
  <c r="C31" i="2"/>
  <c r="E30" i="2"/>
  <c r="C30" i="2"/>
  <c r="C29" i="2"/>
  <c r="E29" i="2" s="1"/>
  <c r="G41" i="4" l="1"/>
  <c r="G31" i="4"/>
  <c r="G35" i="4"/>
  <c r="G39" i="4"/>
  <c r="G29" i="4"/>
  <c r="G33" i="4"/>
  <c r="G43" i="4"/>
  <c r="G37" i="4"/>
  <c r="G21" i="4"/>
  <c r="G23" i="4"/>
  <c r="G25" i="4"/>
  <c r="G27" i="4"/>
  <c r="C17" i="5"/>
  <c r="C22" i="5"/>
  <c r="C27" i="5"/>
  <c r="C32" i="5"/>
  <c r="C37" i="5"/>
  <c r="C22" i="4"/>
  <c r="C24" i="4"/>
  <c r="C26" i="4"/>
  <c r="C28" i="4"/>
  <c r="C32" i="4"/>
  <c r="C34" i="4"/>
  <c r="C36" i="4"/>
  <c r="C38" i="4"/>
  <c r="C42" i="4"/>
  <c r="D17" i="5"/>
  <c r="D27" i="5"/>
  <c r="D37" i="5"/>
  <c r="C20" i="5"/>
  <c r="C30" i="5"/>
  <c r="C40" i="5"/>
  <c r="D25" i="5"/>
  <c r="D35" i="5"/>
  <c r="C18" i="5"/>
  <c r="C28" i="5"/>
  <c r="C38" i="5"/>
  <c r="G22" i="4"/>
  <c r="G24" i="4"/>
  <c r="G26" i="4"/>
  <c r="G32" i="4"/>
  <c r="G34" i="4"/>
  <c r="G36" i="4"/>
  <c r="G42" i="4"/>
  <c r="C27" i="4"/>
  <c r="C29" i="4"/>
  <c r="C37" i="4"/>
  <c r="C39" i="4"/>
  <c r="C46" i="4" l="1"/>
  <c r="C47" i="4" s="1"/>
  <c r="C48" i="4" s="1"/>
  <c r="D7" i="5" s="1"/>
  <c r="C43" i="5"/>
  <c r="E43" i="5" s="1"/>
  <c r="C42" i="5"/>
  <c r="E42" i="5" s="1"/>
  <c r="C49" i="4" l="1"/>
  <c r="B7" i="5"/>
  <c r="B11" i="5" l="1"/>
  <c r="C50" i="4"/>
  <c r="D1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<sst xmlns="http://schemas.openxmlformats.org/spreadsheetml/2006/main" count="225" uniqueCount="141">
  <si>
    <t>Dış hava + yük + part‑load + verim metrikleri (IPLV / NPLV / ESEER) ile hızlı tüketim analizi</t>
  </si>
  <si>
    <t>Örnek: AVM / Otel</t>
  </si>
  <si>
    <t>Serbest metin</t>
  </si>
  <si>
    <t>İstanbul</t>
  </si>
  <si>
    <t>İstanbul/Ankara/İzmir/Bursa</t>
  </si>
  <si>
    <t>Temmuz</t>
  </si>
  <si>
    <t>Ocak..Aralık</t>
  </si>
  <si>
    <t>₺/kWh</t>
  </si>
  <si>
    <t>saat/gün</t>
  </si>
  <si>
    <t>gün/ay</t>
  </si>
  <si>
    <t>ay/yıl (yaklaşık)</t>
  </si>
  <si>
    <t>kW</t>
  </si>
  <si>
    <t>kW (full-load)</t>
  </si>
  <si>
    <t>SN</t>
  </si>
  <si>
    <t>SN / HE</t>
  </si>
  <si>
    <t>% (0-30)</t>
  </si>
  <si>
    <t>°C</t>
  </si>
  <si>
    <t>kW (ortalama)</t>
  </si>
  <si>
    <t>100/75/50/25% yük noktalarında güç (kW) girin → metrikler otomatik hesaplanır</t>
  </si>
  <si>
    <t>Yük Oranı</t>
  </si>
  <si>
    <t>Kapasite (kW)</t>
  </si>
  <si>
    <t>Güç (kW)</t>
  </si>
  <si>
    <t>COP</t>
  </si>
  <si>
    <t>Not</t>
  </si>
  <si>
    <t>Girilen değer</t>
  </si>
  <si>
    <t>Not: Metrik ağırlıkları standarda göre değişebilir. Bu dosya eğitim/ön-analiz amaçlıdır.</t>
  </si>
  <si>
    <t>Örnek değerler editlenebilir. Şehir/Ay INPUTS sayfasından gelir.</t>
  </si>
  <si>
    <t>DATA (edit)</t>
  </si>
  <si>
    <t>Ay</t>
  </si>
  <si>
    <t>Tmin</t>
  </si>
  <si>
    <t>Tmean</t>
  </si>
  <si>
    <t>Tmax</t>
  </si>
  <si>
    <t>Seçili</t>
  </si>
  <si>
    <t>Ocak</t>
  </si>
  <si>
    <t>Aylık tipik</t>
  </si>
  <si>
    <t>Şubat</t>
  </si>
  <si>
    <t>Mart</t>
  </si>
  <si>
    <t>Nisan</t>
  </si>
  <si>
    <t>Mayıs</t>
  </si>
  <si>
    <t>Haziran</t>
  </si>
  <si>
    <t>Ağustos</t>
  </si>
  <si>
    <t>Eylül</t>
  </si>
  <si>
    <t>Ekim</t>
  </si>
  <si>
    <t>Kasım</t>
  </si>
  <si>
    <t>Aralık</t>
  </si>
  <si>
    <t>Ankara</t>
  </si>
  <si>
    <t>Saat</t>
  </si>
  <si>
    <t>Normalize</t>
  </si>
  <si>
    <t>Ta (°C)</t>
  </si>
  <si>
    <t>İzmir</t>
  </si>
  <si>
    <t>Bursa</t>
  </si>
  <si>
    <t>Chiller Enerji Hesabı (Saatlik profil + Part‑Load)</t>
  </si>
  <si>
    <t>Model parametreleri (eğilim analizi)</t>
  </si>
  <si>
    <t>kQ_Ta&gt;ref</t>
  </si>
  <si>
    <t>kapasite/°C</t>
  </si>
  <si>
    <t>kQ_Ta&lt;ref</t>
  </si>
  <si>
    <t>kQ_LWT&gt;ref</t>
  </si>
  <si>
    <t>kQ_LWT&lt;ref</t>
  </si>
  <si>
    <t>kEIR_Ta</t>
  </si>
  <si>
    <t>EIR/°C</t>
  </si>
  <si>
    <t>kEIR_LWT</t>
  </si>
  <si>
    <t>HE_EIR_mul</t>
  </si>
  <si>
    <t>HE için</t>
  </si>
  <si>
    <t>kGly_Q_per%</t>
  </si>
  <si>
    <t>Q düşüş/%</t>
  </si>
  <si>
    <t>kGly_P_per%</t>
  </si>
  <si>
    <t>P artış/%</t>
  </si>
  <si>
    <t>Saatlik Hesap (1 gün) — Ta = WEATHER saatlik profil</t>
  </si>
  <si>
    <t>Qavail (kW)</t>
  </si>
  <si>
    <t>PLR</t>
  </si>
  <si>
    <t>P (kW)</t>
  </si>
  <si>
    <t>kWh (1h)</t>
  </si>
  <si>
    <t>Günlük enerji</t>
  </si>
  <si>
    <t>kWh/gün</t>
  </si>
  <si>
    <t>Aylık enerji</t>
  </si>
  <si>
    <t>kWh/ay</t>
  </si>
  <si>
    <t>Aylık maliyet</t>
  </si>
  <si>
    <t>₺/ay</t>
  </si>
  <si>
    <t>Yıllık enerji</t>
  </si>
  <si>
    <t>kWh/yıl</t>
  </si>
  <si>
    <t>Yıllık maliyet</t>
  </si>
  <si>
    <t>₺/yıl</t>
  </si>
  <si>
    <t>Ta</t>
  </si>
  <si>
    <t>kW Base</t>
  </si>
  <si>
    <t>kW LWT+1</t>
  </si>
  <si>
    <t>kW Ta-1</t>
  </si>
  <si>
    <t>Integrated Part Load Value. 100/75/50/25% yük noktalarındaki verim, ağırlıklandırılmış olarak birleştirilir. Çoğu standardda kW/ton; burada COP eşdeğeri hesaplanır.</t>
  </si>
  <si>
    <t>Non‑Standard Part Load Value. IPLV benzeri; farklı ağırlıklarla daha farklı çalışma profillerini temsil edebilir.</t>
  </si>
  <si>
    <t>European Seasonal Energy Efficiency Ratio. Eurovent yaklaşımıyla sezonluk verim göstergesi; tipik olarak 100/75/50/25% noktalarının ağırlıklı birleşimidir.</t>
  </si>
  <si>
    <t>INPUTS sayfasında part‑load güç (kW) değerlerini girin. Excel COP ve metrikleri hesaplar. Daha iyi kıyas için aynı koşullarda farklı cihazları karşılaştırın.</t>
  </si>
  <si>
    <t>Gerçek saha tüketimi; iklim, setpoint, debi, kondenser/evaporatör kirlenmesi, kontrol stratejisi ve bakım durumuna bağlıdır. Bu dosya hızlı öngörü ve 1°C etkisi içindir.</t>
  </si>
  <si>
    <t>❄️  HVAC TIPS  powered by  TERMOLOOP</t>
  </si>
  <si>
    <t>🏢  Chiller Energy Calculator</t>
  </si>
  <si>
    <t>📋  ÖZELLİKLER</t>
  </si>
  <si>
    <t xml:space="preserve">    🔹  Müşteri/tesis bazlı hızlı senaryo: kapasite, yük, setpoint, çalışma saatleri</t>
  </si>
  <si>
    <t xml:space="preserve">    🔹  Meteoroloji (aylık tipik) ve saatlik sıcaklık profili görünümü</t>
  </si>
  <si>
    <t xml:space="preserve">    🔹  Part‑load eğrisi ile kW/kWh ve ₺  •  1°C etkisi (setpoint veya dış hava)</t>
  </si>
  <si>
    <t xml:space="preserve">    🔹  IPLV / NPLV / ESEER hesap ve açıklamalar</t>
  </si>
  <si>
    <t>🚀  HIZLI BAŞLANGIÇ</t>
  </si>
  <si>
    <t xml:space="preserve">    1️⃣   INPUTS sayfasında mavi hücreleri doldurun</t>
  </si>
  <si>
    <t xml:space="preserve">    2️⃣   WEATHER sayfasında şehir/ay kontrol edin</t>
  </si>
  <si>
    <t xml:space="preserve">    3️⃣   DASHBOARD sayfasında sonuçları ve grafikleri inceleyin</t>
  </si>
  <si>
    <t>© TermoLoop  •  www.termoloop.com</t>
  </si>
  <si>
    <t>⚙️  Inputs — Veri Girişi</t>
  </si>
  <si>
    <t>🏢  A) Proje / Senaryo</t>
  </si>
  <si>
    <t xml:space="preserve">  🏷️  Müşteri / Tesis Adı</t>
  </si>
  <si>
    <t xml:space="preserve">  📍  Şehir</t>
  </si>
  <si>
    <t xml:space="preserve">  📅  Analiz Ayı</t>
  </si>
  <si>
    <t xml:space="preserve">  💰  Elektrik Birim Fiyatı</t>
  </si>
  <si>
    <t xml:space="preserve">  ⏰  Çalışma Saati (günlük)</t>
  </si>
  <si>
    <t xml:space="preserve">  📆  Çalışma Günü (aylık)</t>
  </si>
  <si>
    <t xml:space="preserve">  🔄  Yıllık benzer ay sayısı</t>
  </si>
  <si>
    <t>❄️  B) Chiller / Sistem</t>
  </si>
  <si>
    <t xml:space="preserve">  ⚡  Soğutma Kapasitesi (Q_rated)</t>
  </si>
  <si>
    <t xml:space="preserve">  🔌  Nominal Güç (P_rated)</t>
  </si>
  <si>
    <t xml:space="preserve">  📊  Verim Opsiyonu</t>
  </si>
  <si>
    <t xml:space="preserve">  🧪  Glikol Oranı</t>
  </si>
  <si>
    <t xml:space="preserve">  🌡️  CHW Gidiş (LWT)</t>
  </si>
  <si>
    <t xml:space="preserve">  🌡️  CHW Dönüş (EWT)</t>
  </si>
  <si>
    <t xml:space="preserve">  💪  Soğutma Yükü (Q_load)</t>
  </si>
  <si>
    <t>📈  C) Part-Load Verileri (IPLV / NPLV / ESEER)</t>
  </si>
  <si>
    <t>📊  Dashboard — Sonuçlar</t>
  </si>
  <si>
    <t>❄️  HVAC TIPS  •  powered by TERMOLOOP</t>
  </si>
  <si>
    <t>⚡ Aylık Enerji</t>
  </si>
  <si>
    <t>💰 Aylık Maliyet</t>
  </si>
  <si>
    <t>⚡ Yıllık Enerji</t>
  </si>
  <si>
    <t>💰 Yıllık Maliyet</t>
  </si>
  <si>
    <t>🎯  1°C Etki — Sensitivite Analizi</t>
  </si>
  <si>
    <t>🔼  LWT +1°C tasarruf</t>
  </si>
  <si>
    <t>🌡️  Ta -1°C tasarruf</t>
  </si>
  <si>
    <t>☀️  Meteoroloji — Aylık Tipik + Saatlik Profil</t>
  </si>
  <si>
    <t>🌡️  Saatlik Profil (0–23) — sinüs yaklaşımı (seçili ay Tmin/Tmax)</t>
  </si>
  <si>
    <t>📚  IPLV • NPLV • ESEER — Açıklama ve Kullanım</t>
  </si>
  <si>
    <t>🔵  IPLV</t>
  </si>
  <si>
    <t>🟢  NPLV</t>
  </si>
  <si>
    <t>🟡  ESEER</t>
  </si>
  <si>
    <t>❓  Nasıl kullanılır?</t>
  </si>
  <si>
    <t>⚠️  Önemli not</t>
  </si>
  <si>
    <t>🔵  IPLV (COP eq.)</t>
  </si>
  <si>
    <t>🟢  NPLV (COP eq.)</t>
  </si>
  <si>
    <t>🟡  ESEER (COP eq.)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</si>
</sst>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\₺"/>
    <numFmt numFmtId="165" formatCode="0.0"/>
    <numFmt numFmtId="166" formatCode="#,##0.0"/>
  </numFmts>
  <fonts count="40" x14ac:knownFonts="1">
    <font>
      <sz val="11"/>
      <color theme="1"/>
      <name val="Calibri"/>
      <family val="2"/>
      <scheme val="minor"/>
    </font>
    <font>
      <sz val="11"/>
      <color rgb="FF344054"/>
      <name val="Calibri"/>
      <family val="2"/>
    </font>
    <font>
      <b/>
      <sz val="11"/>
      <color rgb="FF101828"/>
      <name val="Calibri"/>
      <family val="2"/>
    </font>
    <font>
      <sz val="10"/>
      <color rgb="FF667085"/>
      <name val="Calibri"/>
      <family val="2"/>
    </font>
    <font>
      <b/>
      <sz val="16"/>
      <color rgb="FF101828"/>
      <name val="Calibri"/>
      <family val="2"/>
    </font>
    <font>
      <b/>
      <sz val="12"/>
      <color rgb="FF3730A3"/>
      <name val="Calibri"/>
      <family val="2"/>
    </font>
    <font>
      <b/>
      <sz val="11"/>
      <color rgb="FF344054"/>
      <name val="Calibri"/>
      <family val="2"/>
    </font>
    <font>
      <b/>
      <sz val="12"/>
      <color rgb="FF0B1220"/>
      <name val="Calibri"/>
      <family val="2"/>
    </font>
    <font>
      <b/>
      <sz val="10"/>
      <color rgb="FF667085"/>
      <name val="Calibri"/>
      <family val="2"/>
    </font>
    <font>
      <b/>
      <sz val="11"/>
      <color rgb="FF3730A3"/>
      <name val="Calibri"/>
      <family val="2"/>
    </font>
    <font>
      <b/>
      <sz val="12"/>
      <color rgb="FF7C3AED"/>
      <name val="Calibri"/>
      <family val="2"/>
    </font>
    <font>
      <b/>
      <sz val="10"/>
      <color rgb="FF344054"/>
      <name val="Calibri"/>
      <family val="2"/>
    </font>
    <font>
      <b/>
      <sz val="16"/>
      <color rgb="FFFFFFFF"/>
      <name val="Calibri"/>
      <family val="2"/>
    </font>
    <font>
      <b/>
      <sz val="22"/>
      <color rgb="FF101828"/>
      <name val="Calibri"/>
      <family val="2"/>
      <scheme val="minor"/>
    </font>
    <font>
      <sz val="12"/>
      <color rgb="FF475467"/>
      <name val="Calibri"/>
      <family val="2"/>
      <scheme val="minor"/>
    </font>
    <font>
      <b/>
      <sz val="12"/>
      <color rgb="FF3730A3"/>
      <name val="Calibri"/>
      <family val="2"/>
      <scheme val="minor"/>
    </font>
    <font>
      <sz val="11"/>
      <color rgb="FF344054"/>
      <name val="Calibri"/>
      <family val="2"/>
    </font>
    <font>
      <b/>
      <sz val="11"/>
      <color rgb="FF344054"/>
      <name val="Calibri"/>
      <family val="2"/>
    </font>
    <font>
      <sz val="10"/>
      <color rgb="FF667085"/>
      <name val="Calibri"/>
      <family val="2"/>
    </font>
    <font>
      <b/>
      <sz val="16"/>
      <color rgb="FF101828"/>
      <name val="Calibri"/>
      <family val="2"/>
    </font>
    <font>
      <b/>
      <sz val="12"/>
      <color rgb="FF1E40AF"/>
      <name val="Calibri"/>
      <family val="2"/>
    </font>
    <font>
      <b/>
      <sz val="12"/>
      <color rgb="FF065F46"/>
      <name val="Calibri"/>
      <family val="2"/>
    </font>
    <font>
      <b/>
      <sz val="12"/>
      <color rgb="FF7C2D12"/>
      <name val="Calibri"/>
      <family val="2"/>
    </font>
    <font>
      <b/>
      <sz val="12"/>
      <color rgb="FF7C3AED"/>
      <name val="Calibri"/>
      <family val="2"/>
    </font>
    <font>
      <b/>
      <sz val="22"/>
      <color rgb="FF065F46"/>
      <name val="Calibri"/>
      <family val="2"/>
    </font>
    <font>
      <b/>
      <sz val="22"/>
      <color rgb="FF92400E"/>
      <name val="Calibri"/>
      <family val="2"/>
    </font>
    <font>
      <b/>
      <sz val="12"/>
      <color rgb="FF3730A3"/>
      <name val="Calibri"/>
      <family val="2"/>
    </font>
    <font>
      <b/>
      <sz val="11"/>
      <color rgb="FF065F46"/>
      <name val="Calibri"/>
      <family val="2"/>
    </font>
    <font>
      <b/>
      <sz val="14"/>
      <color rgb="FF065F46"/>
      <name val="Calibri"/>
      <family val="2"/>
    </font>
    <font>
      <sz val="10"/>
      <color rgb="FF065F46"/>
      <name val="Calibri"/>
      <family val="2"/>
    </font>
    <font>
      <b/>
      <sz val="11"/>
      <color rgb="FF1E40AF"/>
      <name val="Calibri"/>
      <family val="2"/>
    </font>
    <font>
      <b/>
      <sz val="14"/>
      <color rgb="FF1E40AF"/>
      <name val="Calibri"/>
      <family val="2"/>
    </font>
    <font>
      <sz val="10"/>
      <color rgb="FF1E40AF"/>
      <name val="Calibri"/>
      <family val="2"/>
    </font>
    <font>
      <b/>
      <sz val="12"/>
      <color rgb="FF92400E"/>
      <name val="Calibri"/>
      <family val="2"/>
    </font>
    <font>
      <b/>
      <sz val="16"/>
      <color rgb="FF1E40AF"/>
      <name val="Calibri"/>
      <family val="2"/>
    </font>
    <font>
      <b/>
      <sz val="16"/>
      <color rgb="FF065F46"/>
      <name val="Calibri"/>
      <family val="2"/>
    </font>
    <font>
      <b/>
      <sz val="16"/>
      <color rgb="FF92400E"/>
      <name val="Calibri"/>
      <family val="2"/>
    </font>
    <font>
      <sz val="10"/>
      <color rgb="FF92400E"/>
      <name val="Calibri"/>
      <family val="2"/>
    </font>
    <font>
      <b/>
      <sz val="11"/>
      <color rgb="FF1E3A5F"/>
      <name val="Calibri"/>
      <family val="2"/>
    </font>
    <font>
      <b/>
      <sz val="11"/>
      <color rgb="FF1E3A5F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2F4F7"/>
      </patternFill>
    </fill>
    <fill>
      <patternFill patternType="solid">
        <fgColor rgb="FFEEF2FF"/>
      </patternFill>
    </fill>
    <fill>
      <patternFill patternType="solid">
        <fgColor rgb="FFDCEEFB"/>
      </patternFill>
    </fill>
    <fill>
      <patternFill patternType="solid">
        <fgColor rgb="FFECFDF3"/>
      </patternFill>
    </fill>
    <fill>
      <patternFill patternType="solid">
        <fgColor rgb="FFF8FAFC"/>
      </patternFill>
    </fill>
    <fill>
      <patternFill patternType="solid">
        <fgColor rgb="FF7C3AED"/>
        <bgColor indexed="64"/>
      </patternFill>
    </fill>
    <fill>
      <patternFill patternType="solid">
        <fgColor rgb="FFF2F4F7"/>
        <bgColor indexed="64"/>
      </patternFill>
    </fill>
    <fill>
      <patternFill patternType="solid">
        <fgColor rgb="FFEEF2FF"/>
        <bgColor indexed="64"/>
      </patternFill>
    </fill>
    <fill>
      <patternFill patternType="solid">
        <fgColor rgb="FFDBEAFE"/>
        <bgColor indexed="64"/>
      </patternFill>
    </fill>
    <fill>
      <patternFill patternType="solid">
        <fgColor rgb="FFD1FAE5"/>
        <bgColor indexed="64"/>
      </patternFill>
    </fill>
    <fill>
      <patternFill patternType="solid">
        <fgColor rgb="FFFEF3C7"/>
        <bgColor indexed="64"/>
      </patternFill>
    </fill>
    <fill>
      <patternFill patternType="solid">
        <fgColor rgb="FFF0FDF4"/>
        <bgColor indexed="64"/>
      </patternFill>
    </fill>
    <fill>
      <patternFill patternType="solid">
        <fgColor rgb="FFECFDF5"/>
        <bgColor indexed="64"/>
      </patternFill>
    </fill>
    <fill>
      <patternFill patternType="solid">
        <fgColor rgb="FFEFF6FF"/>
        <bgColor indexed="64"/>
      </patternFill>
    </fill>
  </fills>
  <borders count="8">
    <border>
      <left/>
      <right/>
      <top/>
      <bottom/>
      <diagonal/>
    </border>
    <border>
      <left style="thin">
        <color rgb="FFD0D5DD"/>
      </left>
      <right style="thin">
        <color rgb="FFD0D5DD"/>
      </right>
      <top style="thin">
        <color rgb="FFD0D5DD"/>
      </top>
      <bottom style="thin">
        <color rgb="FFD0D5DD"/>
      </bottom>
      <diagonal/>
    </border>
    <border>
      <left style="thin">
        <color rgb="FFD0D5DD"/>
      </left>
      <right/>
      <top style="thin">
        <color rgb="FFD0D5DD"/>
      </top>
      <bottom style="thin">
        <color rgb="FFD0D5DD"/>
      </bottom>
      <diagonal/>
    </border>
    <border>
      <left/>
      <right/>
      <top style="thin">
        <color rgb="FFD0D5DD"/>
      </top>
      <bottom style="thin">
        <color rgb="FFD0D5DD"/>
      </bottom>
      <diagonal/>
    </border>
    <border>
      <left/>
      <right style="thin">
        <color rgb="FFD0D5DD"/>
      </right>
      <top style="thin">
        <color rgb="FFD0D5DD"/>
      </top>
      <bottom style="thin">
        <color rgb="FFD0D5DD"/>
      </bottom>
      <diagonal/>
    </border>
    <border>
      <left style="medium">
        <color rgb="FF93C5FD"/>
      </left>
      <right style="medium">
        <color rgb="FF93C5FD"/>
      </right>
      <top style="medium">
        <color rgb="FF93C5FD"/>
      </top>
      <bottom style="medium">
        <color rgb="FF93C5FD"/>
      </bottom>
      <diagonal/>
    </border>
    <border>
      <left style="medium">
        <color rgb="FF93C5FD"/>
      </left>
      <right style="medium">
        <color rgb="FF93C5FD"/>
      </right>
      <top style="medium">
        <color rgb="FF93C5FD"/>
      </top>
      <bottom/>
      <diagonal/>
    </border>
    <border>
      <left style="thin">
        <color rgb="FFD0D5DD"/>
      </left>
      <right style="thin">
        <color rgb="FFD0D5DD"/>
      </right>
      <top style="thin">
        <color rgb="FFD0D5DD"/>
      </top>
      <bottom/>
      <diagonal/>
    </border>
  </borders>
  <cellStyleXfs count="1">
    <xf numFmtId="0" fontId="0" fillId="0" borderId="0"/>
  </cellStyleXfs>
  <cellXfs count="92">
    <xf numFmtId="0" fontId="0" fillId="0" borderId="0" xfId="0"/>
    <xf numFmtId="0" fontId="0" fillId="2" borderId="1" xfId="0" applyFill="1" applyBorder="1"/>
    <xf numFmtId="0" fontId="6" fillId="0" borderId="1" xfId="0" applyFont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8" fillId="0" borderId="0" xfId="0" applyFont="1"/>
    <xf numFmtId="0" fontId="9" fillId="0" borderId="0" xfId="0" applyFont="1"/>
    <xf numFmtId="0" fontId="10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1" fillId="0" borderId="1" xfId="0" applyFont="1" applyBorder="1" applyAlignment="1">
      <alignment vertical="center"/>
    </xf>
    <xf numFmtId="0" fontId="0" fillId="6" borderId="1" xfId="0" applyFill="1" applyBorder="1" applyAlignment="1">
      <alignment horizontal="right"/>
    </xf>
    <xf numFmtId="0" fontId="1" fillId="0" borderId="0" xfId="0" applyFont="1" applyAlignment="1">
      <alignment vertical="top" wrapText="1"/>
    </xf>
    <xf numFmtId="3" fontId="7" fillId="5" borderId="1" xfId="0" applyNumberFormat="1" applyFont="1" applyFill="1" applyBorder="1" applyAlignment="1">
      <alignment vertical="center"/>
    </xf>
    <xf numFmtId="164" fontId="7" fillId="5" borderId="1" xfId="0" applyNumberFormat="1" applyFont="1" applyFill="1" applyBorder="1" applyAlignment="1">
      <alignment vertical="center"/>
    </xf>
    <xf numFmtId="165" fontId="2" fillId="0" borderId="1" xfId="0" applyNumberFormat="1" applyFont="1" applyBorder="1" applyAlignment="1">
      <alignment horizontal="center"/>
    </xf>
    <xf numFmtId="166" fontId="7" fillId="5" borderId="1" xfId="0" applyNumberFormat="1" applyFont="1" applyFill="1" applyBorder="1" applyAlignment="1">
      <alignment vertical="center"/>
    </xf>
    <xf numFmtId="2" fontId="2" fillId="0" borderId="1" xfId="0" applyNumberFormat="1" applyFont="1" applyBorder="1" applyAlignment="1">
      <alignment horizontal="center"/>
    </xf>
    <xf numFmtId="0" fontId="0" fillId="8" borderId="1" xfId="0" applyFill="1" applyBorder="1"/>
    <xf numFmtId="0" fontId="23" fillId="0" borderId="0" xfId="0" applyFont="1"/>
    <xf numFmtId="0" fontId="17" fillId="13" borderId="1" xfId="0" applyFont="1" applyFill="1" applyBorder="1" applyAlignment="1">
      <alignment vertical="top"/>
    </xf>
    <xf numFmtId="0" fontId="17" fillId="12" borderId="1" xfId="0" applyFont="1" applyFill="1" applyBorder="1" applyAlignment="1">
      <alignment vertical="top"/>
    </xf>
    <xf numFmtId="3" fontId="24" fillId="13" borderId="1" xfId="0" applyNumberFormat="1" applyFont="1" applyFill="1" applyBorder="1"/>
    <xf numFmtId="0" fontId="18" fillId="13" borderId="1" xfId="0" applyFont="1" applyFill="1" applyBorder="1"/>
    <xf numFmtId="164" fontId="25" fillId="12" borderId="1" xfId="0" applyNumberFormat="1" applyFont="1" applyFill="1" applyBorder="1"/>
    <xf numFmtId="0" fontId="18" fillId="12" borderId="1" xfId="0" applyFont="1" applyFill="1" applyBorder="1"/>
    <xf numFmtId="0" fontId="27" fillId="14" borderId="1" xfId="0" applyFont="1" applyFill="1" applyBorder="1" applyAlignment="1">
      <alignment vertical="center"/>
    </xf>
    <xf numFmtId="3" fontId="28" fillId="14" borderId="1" xfId="0" applyNumberFormat="1" applyFont="1" applyFill="1" applyBorder="1" applyAlignment="1">
      <alignment vertical="center"/>
    </xf>
    <xf numFmtId="0" fontId="29" fillId="14" borderId="1" xfId="0" applyFont="1" applyFill="1" applyBorder="1" applyAlignment="1">
      <alignment vertical="center"/>
    </xf>
    <xf numFmtId="164" fontId="28" fillId="14" borderId="1" xfId="0" applyNumberFormat="1" applyFont="1" applyFill="1" applyBorder="1" applyAlignment="1">
      <alignment vertical="center"/>
    </xf>
    <xf numFmtId="0" fontId="30" fillId="15" borderId="1" xfId="0" applyFont="1" applyFill="1" applyBorder="1" applyAlignment="1">
      <alignment vertical="center"/>
    </xf>
    <xf numFmtId="3" fontId="31" fillId="15" borderId="1" xfId="0" applyNumberFormat="1" applyFont="1" applyFill="1" applyBorder="1" applyAlignment="1">
      <alignment vertical="center"/>
    </xf>
    <xf numFmtId="0" fontId="32" fillId="15" borderId="1" xfId="0" applyFont="1" applyFill="1" applyBorder="1" applyAlignment="1">
      <alignment vertical="center"/>
    </xf>
    <xf numFmtId="164" fontId="31" fillId="15" borderId="1" xfId="0" applyNumberFormat="1" applyFont="1" applyFill="1" applyBorder="1" applyAlignment="1">
      <alignment vertical="center"/>
    </xf>
    <xf numFmtId="0" fontId="20" fillId="10" borderId="0" xfId="0" applyFont="1" applyFill="1"/>
    <xf numFmtId="0" fontId="21" fillId="11" borderId="0" xfId="0" applyFont="1" applyFill="1"/>
    <xf numFmtId="0" fontId="33" fillId="12" borderId="0" xfId="0" applyFont="1" applyFill="1"/>
    <xf numFmtId="0" fontId="26" fillId="9" borderId="0" xfId="0" applyFont="1" applyFill="1"/>
    <xf numFmtId="0" fontId="20" fillId="10" borderId="1" xfId="0" applyFont="1" applyFill="1" applyBorder="1"/>
    <xf numFmtId="2" fontId="34" fillId="10" borderId="1" xfId="0" applyNumberFormat="1" applyFont="1" applyFill="1" applyBorder="1" applyAlignment="1">
      <alignment horizontal="center"/>
    </xf>
    <xf numFmtId="0" fontId="32" fillId="10" borderId="1" xfId="0" applyFont="1" applyFill="1" applyBorder="1"/>
    <xf numFmtId="0" fontId="21" fillId="11" borderId="1" xfId="0" applyFont="1" applyFill="1" applyBorder="1"/>
    <xf numFmtId="2" fontId="35" fillId="11" borderId="1" xfId="0" applyNumberFormat="1" applyFont="1" applyFill="1" applyBorder="1" applyAlignment="1">
      <alignment horizontal="center"/>
    </xf>
    <xf numFmtId="0" fontId="29" fillId="11" borderId="1" xfId="0" applyFont="1" applyFill="1" applyBorder="1"/>
    <xf numFmtId="0" fontId="33" fillId="12" borderId="1" xfId="0" applyFont="1" applyFill="1" applyBorder="1"/>
    <xf numFmtId="2" fontId="36" fillId="12" borderId="1" xfId="0" applyNumberFormat="1" applyFont="1" applyFill="1" applyBorder="1" applyAlignment="1">
      <alignment horizontal="center"/>
    </xf>
    <xf numFmtId="0" fontId="37" fillId="12" borderId="1" xfId="0" applyFont="1" applyFill="1" applyBorder="1"/>
    <xf numFmtId="0" fontId="17" fillId="0" borderId="2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8" fillId="10" borderId="5" xfId="0" applyFont="1" applyFill="1" applyBorder="1" applyAlignment="1">
      <alignment vertical="center"/>
    </xf>
    <xf numFmtId="0" fontId="38" fillId="10" borderId="6" xfId="0" applyFont="1" applyFill="1" applyBorder="1" applyAlignment="1">
      <alignment vertical="center"/>
    </xf>
    <xf numFmtId="2" fontId="38" fillId="10" borderId="6" xfId="0" applyNumberFormat="1" applyFont="1" applyFill="1" applyBorder="1" applyAlignment="1">
      <alignment vertical="center"/>
    </xf>
    <xf numFmtId="3" fontId="38" fillId="10" borderId="5" xfId="0" applyNumberFormat="1" applyFont="1" applyFill="1" applyBorder="1" applyAlignment="1">
      <alignment vertical="center"/>
    </xf>
    <xf numFmtId="3" fontId="38" fillId="10" borderId="6" xfId="0" applyNumberFormat="1" applyFont="1" applyFill="1" applyBorder="1" applyAlignment="1">
      <alignment vertical="center"/>
    </xf>
    <xf numFmtId="0" fontId="2" fillId="0" borderId="2" xfId="0" applyFont="1" applyBorder="1" applyAlignment="1">
      <alignment horizontal="center"/>
    </xf>
    <xf numFmtId="2" fontId="2" fillId="0" borderId="4" xfId="0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39" fillId="10" borderId="5" xfId="0" applyFont="1" applyFill="1" applyBorder="1" applyAlignment="1">
      <alignment horizontal="center"/>
    </xf>
    <xf numFmtId="0" fontId="39" fillId="10" borderId="6" xfId="0" applyFont="1" applyFill="1" applyBorder="1" applyAlignment="1">
      <alignment horizontal="center"/>
    </xf>
    <xf numFmtId="0" fontId="12" fillId="7" borderId="0" xfId="0" applyFont="1" applyFill="1" applyAlignment="1">
      <alignment horizontal="center" vertical="center"/>
    </xf>
    <xf numFmtId="0" fontId="13" fillId="8" borderId="2" xfId="0" applyFont="1" applyFill="1" applyBorder="1"/>
    <xf numFmtId="0" fontId="13" fillId="8" borderId="3" xfId="0" applyFont="1" applyFill="1" applyBorder="1"/>
    <xf numFmtId="0" fontId="13" fillId="8" borderId="4" xfId="0" applyFont="1" applyFill="1" applyBorder="1"/>
    <xf numFmtId="0" fontId="14" fillId="8" borderId="2" xfId="0" applyFont="1" applyFill="1" applyBorder="1"/>
    <xf numFmtId="0" fontId="14" fillId="8" borderId="3" xfId="0" applyFont="1" applyFill="1" applyBorder="1"/>
    <xf numFmtId="0" fontId="14" fillId="8" borderId="4" xfId="0" applyFont="1" applyFill="1" applyBorder="1"/>
    <xf numFmtId="0" fontId="15" fillId="9" borderId="2" xfId="0" applyFont="1" applyFill="1" applyBorder="1"/>
    <xf numFmtId="0" fontId="15" fillId="9" borderId="3" xfId="0" applyFont="1" applyFill="1" applyBorder="1"/>
    <xf numFmtId="0" fontId="15" fillId="9" borderId="4" xfId="0" applyFont="1" applyFill="1" applyBorder="1"/>
    <xf numFmtId="0" fontId="16" fillId="8" borderId="2" xfId="0" applyFont="1" applyFill="1" applyBorder="1"/>
    <xf numFmtId="0" fontId="16" fillId="8" borderId="3" xfId="0" applyFont="1" applyFill="1" applyBorder="1"/>
    <xf numFmtId="0" fontId="16" fillId="8" borderId="4" xfId="0" applyFont="1" applyFill="1" applyBorder="1"/>
    <xf numFmtId="0" fontId="18" fillId="0" borderId="0" xfId="0" applyFont="1"/>
    <xf numFmtId="0" fontId="17" fillId="8" borderId="2" xfId="0" applyFont="1" applyFill="1" applyBorder="1"/>
    <xf numFmtId="0" fontId="17" fillId="8" borderId="3" xfId="0" applyFont="1" applyFill="1" applyBorder="1"/>
    <xf numFmtId="0" fontId="17" fillId="8" borderId="4" xfId="0" applyFont="1" applyFill="1" applyBorder="1"/>
    <xf numFmtId="0" fontId="22" fillId="12" borderId="0" xfId="0" applyFont="1" applyFill="1" applyAlignment="1">
      <alignment vertical="center"/>
    </xf>
    <xf numFmtId="0" fontId="5" fillId="3" borderId="0" xfId="0" applyFont="1" applyFill="1" applyAlignment="1">
      <alignment vertical="center"/>
    </xf>
    <xf numFmtId="0" fontId="5" fillId="12" borderId="0" xfId="0" applyFont="1" applyFill="1" applyAlignment="1">
      <alignment vertical="center"/>
    </xf>
    <xf numFmtId="0" fontId="3" fillId="0" borderId="0" xfId="0" applyFont="1"/>
    <xf numFmtId="0" fontId="0" fillId="0" borderId="0" xfId="0"/>
    <xf numFmtId="0" fontId="21" fillId="11" borderId="0" xfId="0" applyFont="1" applyFill="1" applyAlignment="1">
      <alignment vertical="center"/>
    </xf>
    <xf numFmtId="0" fontId="5" fillId="11" borderId="0" xfId="0" applyFont="1" applyFill="1" applyAlignment="1">
      <alignment vertical="center"/>
    </xf>
    <xf numFmtId="0" fontId="19" fillId="0" borderId="0" xfId="0" applyFont="1" applyAlignment="1">
      <alignment vertical="center"/>
    </xf>
    <xf numFmtId="0" fontId="20" fillId="10" borderId="0" xfId="0" applyFont="1" applyFill="1" applyAlignment="1">
      <alignment vertical="center"/>
    </xf>
    <xf numFmtId="0" fontId="5" fillId="10" borderId="0" xfId="0" applyFont="1" applyFill="1" applyAlignment="1">
      <alignment vertical="center"/>
    </xf>
    <xf numFmtId="0" fontId="1" fillId="0" borderId="0" xfId="0" applyFont="1"/>
    <xf numFmtId="0" fontId="26" fillId="9" borderId="0" xfId="0" applyFont="1" applyFill="1" applyAlignment="1">
      <alignment vertical="center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n-US"/>
              <a:t>Saatlik Dış Hava Profili (Ta)</a:t>
            </a:r>
          </a:p>
        </c:rich>
      </c:tx>
      <c:overlay val="1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WEATHER!$D$22</c:f>
              <c:strCache>
                <c:ptCount val="1"/>
                <c:pt idx="0">
                  <c:v>Ta (°C)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WEATHER!$B$23:$B$46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WEATHER!$D$23:$D$46</c:f>
              <c:numCache>
                <c:formatCode>0.0</c:formatCode>
                <c:ptCount val="24"/>
                <c:pt idx="0">
                  <c:v>20</c:v>
                </c:pt>
                <c:pt idx="1">
                  <c:v>20.185413563261001</c:v>
                </c:pt>
                <c:pt idx="2">
                  <c:v>20.727902977267558</c:v>
                </c:pt>
                <c:pt idx="3">
                  <c:v>21.587234283906728</c:v>
                </c:pt>
                <c:pt idx="4">
                  <c:v>22.699674811344241</c:v>
                </c:pt>
                <c:pt idx="5">
                  <c:v>23.982719934736831</c:v>
                </c:pt>
                <c:pt idx="6">
                  <c:v>25.341212066823356</c:v>
                </c:pt>
                <c:pt idx="7">
                  <c:v>26.67439806085493</c:v>
                </c:pt>
                <c:pt idx="8">
                  <c:v>27.883401610574335</c:v>
                </c:pt>
                <c:pt idx="9">
                  <c:v>28.878556453522098</c:v>
                </c:pt>
                <c:pt idx="10">
                  <c:v>29.586056507527267</c:v>
                </c:pt>
                <c:pt idx="11">
                  <c:v>29.953429730181654</c:v>
                </c:pt>
                <c:pt idx="12">
                  <c:v>29.953429730181654</c:v>
                </c:pt>
                <c:pt idx="13">
                  <c:v>29.586056507527267</c:v>
                </c:pt>
                <c:pt idx="14">
                  <c:v>28.878556453522098</c:v>
                </c:pt>
                <c:pt idx="15">
                  <c:v>27.883401610574335</c:v>
                </c:pt>
                <c:pt idx="16">
                  <c:v>26.67439806085493</c:v>
                </c:pt>
                <c:pt idx="17">
                  <c:v>25.341212066823356</c:v>
                </c:pt>
                <c:pt idx="18">
                  <c:v>23.982719934736831</c:v>
                </c:pt>
                <c:pt idx="19">
                  <c:v>22.699674811344238</c:v>
                </c:pt>
                <c:pt idx="20">
                  <c:v>21.587234283906731</c:v>
                </c:pt>
                <c:pt idx="21">
                  <c:v>20.727902977267561</c:v>
                </c:pt>
                <c:pt idx="22">
                  <c:v>20.185413563261005</c:v>
                </c:pt>
                <c:pt idx="23">
                  <c:v>20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285-334D-9FB5-FEA9AEDCE8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Saat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°C</a:t>
                </a:r>
              </a:p>
            </c:rich>
          </c:tx>
          <c:overlay val="1"/>
        </c:title>
        <c:numFmt formatCode="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n-US"/>
              <a:t>Saatlik Güç (kW)</a:t>
            </a:r>
          </a:p>
        </c:rich>
      </c:tx>
      <c:overlay val="1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CALC!$F$19</c:f>
              <c:strCache>
                <c:ptCount val="1"/>
                <c:pt idx="0">
                  <c:v>P (kW)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CALC!$B$20:$B$43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CALC!$F$20:$F$43</c:f>
              <c:numCache>
                <c:formatCode>0.0</c:formatCode>
                <c:ptCount val="24"/>
                <c:pt idx="0">
                  <c:v>95.450266573802026</c:v>
                </c:pt>
                <c:pt idx="1">
                  <c:v>95.932952546134118</c:v>
                </c:pt>
                <c:pt idx="2">
                  <c:v>97.343875565123966</c:v>
                </c:pt>
                <c:pt idx="3">
                  <c:v>99.57478246366793</c:v>
                </c:pt>
                <c:pt idx="4">
                  <c:v>102.45540191638847</c:v>
                </c:pt>
                <c:pt idx="5">
                  <c:v>105.76749409191866</c:v>
                </c:pt>
                <c:pt idx="6">
                  <c:v>109.26238188753001</c:v>
                </c:pt>
                <c:pt idx="7">
                  <c:v>112.68026720083813</c:v>
                </c:pt>
                <c:pt idx="8">
                  <c:v>115.76965156553537</c:v>
                </c:pt>
                <c:pt idx="9">
                  <c:v>118.30538990598311</c:v>
                </c:pt>
                <c:pt idx="10">
                  <c:v>120.10422533622406</c:v>
                </c:pt>
                <c:pt idx="11">
                  <c:v>121.03699476064554</c:v>
                </c:pt>
                <c:pt idx="12">
                  <c:v>121.03699476064554</c:v>
                </c:pt>
                <c:pt idx="13">
                  <c:v>120.10422533622406</c:v>
                </c:pt>
                <c:pt idx="14">
                  <c:v>118.30538990598311</c:v>
                </c:pt>
                <c:pt idx="15">
                  <c:v>115.76965156553537</c:v>
                </c:pt>
                <c:pt idx="16">
                  <c:v>112.68026720083813</c:v>
                </c:pt>
                <c:pt idx="17">
                  <c:v>109.26238188753001</c:v>
                </c:pt>
                <c:pt idx="18">
                  <c:v>105.76749409191866</c:v>
                </c:pt>
                <c:pt idx="19">
                  <c:v>102.45540191638845</c:v>
                </c:pt>
                <c:pt idx="20">
                  <c:v>99.574782463667958</c:v>
                </c:pt>
                <c:pt idx="21">
                  <c:v>97.34387556512398</c:v>
                </c:pt>
                <c:pt idx="22">
                  <c:v>95.932952546134103</c:v>
                </c:pt>
                <c:pt idx="23">
                  <c:v>95.450266573802026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8DC-D84D-AB9C-EEBE450DA0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Saat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kW</a:t>
                </a:r>
              </a:p>
            </c:rich>
          </c:tx>
          <c:overlay val="1"/>
        </c:title>
        <c:numFmt formatCode="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/>
            </a:pPr>
            <a:r>
              <a:rPr lang="en-US"/>
              <a:t>Saatlik kW: Base vs LWT+1 vs Ta-1</a:t>
            </a:r>
          </a:p>
        </c:rich>
      </c:tx>
      <c:overlay val="1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strRef>
              <c:f>DASHBOARD!$D$16</c:f>
              <c:strCache>
                <c:ptCount val="1"/>
                <c:pt idx="0">
                  <c:v>kW Base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DASHBOARD!$B$17:$B$40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DASHBOARD!$D$17:$D$40</c:f>
              <c:numCache>
                <c:formatCode>0.0</c:formatCode>
                <c:ptCount val="24"/>
                <c:pt idx="0">
                  <c:v>95.450266573802026</c:v>
                </c:pt>
                <c:pt idx="1">
                  <c:v>95.932952546134118</c:v>
                </c:pt>
                <c:pt idx="2">
                  <c:v>97.343875565123966</c:v>
                </c:pt>
                <c:pt idx="3">
                  <c:v>99.57478246366793</c:v>
                </c:pt>
                <c:pt idx="4">
                  <c:v>102.45540191638847</c:v>
                </c:pt>
                <c:pt idx="5">
                  <c:v>105.76749409191866</c:v>
                </c:pt>
                <c:pt idx="6">
                  <c:v>109.26238188753001</c:v>
                </c:pt>
                <c:pt idx="7">
                  <c:v>112.68026720083813</c:v>
                </c:pt>
                <c:pt idx="8">
                  <c:v>115.76965156553537</c:v>
                </c:pt>
                <c:pt idx="9">
                  <c:v>118.30538990598311</c:v>
                </c:pt>
                <c:pt idx="10">
                  <c:v>120.10422533622406</c:v>
                </c:pt>
                <c:pt idx="11">
                  <c:v>121.03699476064554</c:v>
                </c:pt>
                <c:pt idx="12">
                  <c:v>121.03699476064554</c:v>
                </c:pt>
                <c:pt idx="13">
                  <c:v>120.10422533622406</c:v>
                </c:pt>
                <c:pt idx="14">
                  <c:v>118.30538990598311</c:v>
                </c:pt>
                <c:pt idx="15">
                  <c:v>115.76965156553537</c:v>
                </c:pt>
                <c:pt idx="16">
                  <c:v>112.68026720083813</c:v>
                </c:pt>
                <c:pt idx="17">
                  <c:v>109.26238188753001</c:v>
                </c:pt>
                <c:pt idx="18">
                  <c:v>105.76749409191866</c:v>
                </c:pt>
                <c:pt idx="19">
                  <c:v>102.45540191638845</c:v>
                </c:pt>
                <c:pt idx="20">
                  <c:v>99.574782463667958</c:v>
                </c:pt>
                <c:pt idx="21">
                  <c:v>97.34387556512398</c:v>
                </c:pt>
                <c:pt idx="22">
                  <c:v>95.932952546134103</c:v>
                </c:pt>
                <c:pt idx="23">
                  <c:v>95.450266573802026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14D9-7F47-8A0F-BD76BA884BE6}"/>
            </c:ext>
          </c:extLst>
        </c:ser>
        <c:ser>
          <c:idx val="1"/>
          <c:order val="1"/>
          <c:tx>
            <c:strRef>
              <c:f>DASHBOARD!$E$16</c:f>
              <c:strCache>
                <c:ptCount val="1"/>
                <c:pt idx="0">
                  <c:v>kW LWT+1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DASHBOARD!$B$17:$B$40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DASHBOARD!$E$17:$E$40</c:f>
              <c:numCache>
                <c:formatCode>0.0</c:formatCode>
                <c:ptCount val="24"/>
                <c:pt idx="0">
                  <c:v>95.787040759640618</c:v>
                </c:pt>
                <c:pt idx="1">
                  <c:v>95.763720220453735</c:v>
                </c:pt>
                <c:pt idx="2">
                  <c:v>95.695540726236004</c:v>
                </c:pt>
                <c:pt idx="3">
                  <c:v>97.874253640664946</c:v>
                </c:pt>
                <c:pt idx="4">
                  <c:v>100.76534968685621</c:v>
                </c:pt>
                <c:pt idx="5">
                  <c:v>104.08928936842875</c:v>
                </c:pt>
                <c:pt idx="6">
                  <c:v>107.59644578047175</c:v>
                </c:pt>
                <c:pt idx="7">
                  <c:v>111.02609532028863</c:v>
                </c:pt>
                <c:pt idx="8">
                  <c:v>114.12591159757541</c:v>
                </c:pt>
                <c:pt idx="9">
                  <c:v>116.67006769788834</c:v>
                </c:pt>
                <c:pt idx="10">
                  <c:v>118.47479482658824</c:v>
                </c:pt>
                <c:pt idx="11">
                  <c:v>119.41059308859361</c:v>
                </c:pt>
                <c:pt idx="12">
                  <c:v>119.41059308859361</c:v>
                </c:pt>
                <c:pt idx="13">
                  <c:v>118.47479482658824</c:v>
                </c:pt>
                <c:pt idx="14">
                  <c:v>116.67006769788834</c:v>
                </c:pt>
                <c:pt idx="15">
                  <c:v>114.12591159757541</c:v>
                </c:pt>
                <c:pt idx="16">
                  <c:v>111.02609532028863</c:v>
                </c:pt>
                <c:pt idx="17">
                  <c:v>107.59644578047175</c:v>
                </c:pt>
                <c:pt idx="18">
                  <c:v>104.08928936842875</c:v>
                </c:pt>
                <c:pt idx="19">
                  <c:v>100.76534968685621</c:v>
                </c:pt>
                <c:pt idx="20">
                  <c:v>97.874253640664961</c:v>
                </c:pt>
                <c:pt idx="21">
                  <c:v>95.695540726236004</c:v>
                </c:pt>
                <c:pt idx="22">
                  <c:v>95.76372022045372</c:v>
                </c:pt>
                <c:pt idx="23">
                  <c:v>95.787040759640618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14D9-7F47-8A0F-BD76BA884BE6}"/>
            </c:ext>
          </c:extLst>
        </c:ser>
        <c:ser>
          <c:idx val="2"/>
          <c:order val="2"/>
          <c:tx>
            <c:strRef>
              <c:f>DASHBOARD!$F$16</c:f>
              <c:strCache>
                <c:ptCount val="1"/>
                <c:pt idx="0">
                  <c:v>kW Ta-1</c:v>
                </c:pt>
              </c:strCache>
            </c:strRef>
          </c:tx>
          <c:spPr>
            <a:ln>
              <a:prstDash val="solid"/>
            </a:ln>
          </c:spPr>
          <c:marker>
            <c:symbol val="none"/>
          </c:marker>
          <c:cat>
            <c:numRef>
              <c:f>DASHBOARD!$B$17:$B$40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cat>
          <c:val>
            <c:numRef>
              <c:f>DASHBOARD!$F$17:$F$40</c:f>
              <c:numCache>
                <c:formatCode>0.0</c:formatCode>
                <c:ptCount val="24"/>
                <c:pt idx="0">
                  <c:v>95.573627573887379</c:v>
                </c:pt>
                <c:pt idx="1">
                  <c:v>95.550734849756395</c:v>
                </c:pt>
                <c:pt idx="2">
                  <c:v>95.483806555515201</c:v>
                </c:pt>
                <c:pt idx="3">
                  <c:v>96.978211269705056</c:v>
                </c:pt>
                <c:pt idx="4">
                  <c:v>99.866320629026234</c:v>
                </c:pt>
                <c:pt idx="5">
                  <c:v>103.18701015911039</c:v>
                </c:pt>
                <c:pt idx="6">
                  <c:v>106.6909517714211</c:v>
                </c:pt>
                <c:pt idx="7">
                  <c:v>110.11767209542738</c:v>
                </c:pt>
                <c:pt idx="8">
                  <c:v>113.21502464310213</c:v>
                </c:pt>
                <c:pt idx="9">
                  <c:v>115.75728983224165</c:v>
                </c:pt>
                <c:pt idx="10">
                  <c:v>117.56074767746239</c:v>
                </c:pt>
                <c:pt idx="11">
                  <c:v>118.49591140937312</c:v>
                </c:pt>
                <c:pt idx="12">
                  <c:v>118.49591140937312</c:v>
                </c:pt>
                <c:pt idx="13">
                  <c:v>117.56074767746239</c:v>
                </c:pt>
                <c:pt idx="14">
                  <c:v>115.75728983224165</c:v>
                </c:pt>
                <c:pt idx="15">
                  <c:v>113.21502464310213</c:v>
                </c:pt>
                <c:pt idx="16">
                  <c:v>110.11767209542738</c:v>
                </c:pt>
                <c:pt idx="17">
                  <c:v>106.6909517714211</c:v>
                </c:pt>
                <c:pt idx="18">
                  <c:v>103.18701015911039</c:v>
                </c:pt>
                <c:pt idx="19">
                  <c:v>99.866320629026234</c:v>
                </c:pt>
                <c:pt idx="20">
                  <c:v>96.978211269705056</c:v>
                </c:pt>
                <c:pt idx="21">
                  <c:v>95.483806555515201</c:v>
                </c:pt>
                <c:pt idx="22">
                  <c:v>95.550734849756381</c:v>
                </c:pt>
                <c:pt idx="23">
                  <c:v>95.573627573887379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14D9-7F47-8A0F-BD76BA884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"/>
        <c:axId val="100"/>
      </c:lineChart>
      <c:catAx>
        <c:axId val="10"/>
        <c:scaling>
          <c:orientation val="minMax"/>
        </c:scaling>
        <c:delete val="1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Saat</a:t>
                </a:r>
              </a:p>
            </c:rich>
          </c:tx>
          <c:overlay val="1"/>
        </c:title>
        <c:numFmt formatCode="General" sourceLinked="1"/>
        <c:majorTickMark val="none"/>
        <c:minorTickMark val="none"/>
        <c:tickLblPos val="nextTo"/>
        <c:crossAx val="100"/>
        <c:crosses val="autoZero"/>
        <c:auto val="1"/>
        <c:lblAlgn val="ctr"/>
        <c:lblOffset val="100"/>
        <c:noMultiLvlLbl val="1"/>
      </c:catAx>
      <c:valAx>
        <c:axId val="100"/>
        <c:scaling>
          <c:orientation val="minMax"/>
        </c:scaling>
        <c:delete val="1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Güç (kW)</a:t>
                </a:r>
              </a:p>
            </c:rich>
          </c:tx>
          <c:overlay val="1"/>
        </c:title>
        <c:numFmt formatCode="0.0" sourceLinked="1"/>
        <c:majorTickMark val="none"/>
        <c:minorTickMark val="none"/>
        <c:tickLblPos val="nextTo"/>
        <c:crossAx val="10"/>
        <c:crosses val="autoZero"/>
        <c:crossBetween val="between"/>
      </c:valAx>
    </c:plotArea>
    <c:legend>
      <c:legendPos val="b"/>
      <c:overlay val="1"/>
    </c:legend>
    <c:plotVisOnly val="1"/>
    <c:dispBlanksAs val="gap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Saatlik Güç Profili (kW)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DASHBOARD!$B$16</c:f>
              <c:strCache>
                <c:ptCount val="1"/>
                <c:pt idx="0">
                  <c:v>Saat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DASHBOARD!$B$17:$B$40</c:f>
              <c:numCache>
                <c:formatCode>General</c:formatCode>
                <c:ptCount val="24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68-D64E-8BA0-DA2864C9ADC1}"/>
            </c:ext>
          </c:extLst>
        </c:ser>
        <c:ser>
          <c:idx val="1"/>
          <c:order val="1"/>
          <c:tx>
            <c:strRef>
              <c:f>DASHBOARD!$C$16</c:f>
              <c:strCache>
                <c:ptCount val="1"/>
                <c:pt idx="0">
                  <c:v>Ta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DASHBOARD!$C$17:$C$40</c:f>
              <c:numCache>
                <c:formatCode>0.0</c:formatCode>
                <c:ptCount val="24"/>
                <c:pt idx="0">
                  <c:v>20</c:v>
                </c:pt>
                <c:pt idx="1">
                  <c:v>20.185413563261001</c:v>
                </c:pt>
                <c:pt idx="2">
                  <c:v>20.727902977267558</c:v>
                </c:pt>
                <c:pt idx="3">
                  <c:v>21.587234283906728</c:v>
                </c:pt>
                <c:pt idx="4">
                  <c:v>22.699674811344241</c:v>
                </c:pt>
                <c:pt idx="5">
                  <c:v>23.982719934736831</c:v>
                </c:pt>
                <c:pt idx="6">
                  <c:v>25.341212066823356</c:v>
                </c:pt>
                <c:pt idx="7">
                  <c:v>26.67439806085493</c:v>
                </c:pt>
                <c:pt idx="8">
                  <c:v>27.883401610574335</c:v>
                </c:pt>
                <c:pt idx="9">
                  <c:v>28.878556453522098</c:v>
                </c:pt>
                <c:pt idx="10">
                  <c:v>29.586056507527267</c:v>
                </c:pt>
                <c:pt idx="11">
                  <c:v>29.953429730181654</c:v>
                </c:pt>
                <c:pt idx="12">
                  <c:v>29.953429730181654</c:v>
                </c:pt>
                <c:pt idx="13">
                  <c:v>29.586056507527267</c:v>
                </c:pt>
                <c:pt idx="14">
                  <c:v>28.878556453522098</c:v>
                </c:pt>
                <c:pt idx="15">
                  <c:v>27.883401610574335</c:v>
                </c:pt>
                <c:pt idx="16">
                  <c:v>26.67439806085493</c:v>
                </c:pt>
                <c:pt idx="17">
                  <c:v>25.341212066823356</c:v>
                </c:pt>
                <c:pt idx="18">
                  <c:v>23.982719934736831</c:v>
                </c:pt>
                <c:pt idx="19">
                  <c:v>22.699674811344238</c:v>
                </c:pt>
                <c:pt idx="20">
                  <c:v>21.587234283906731</c:v>
                </c:pt>
                <c:pt idx="21">
                  <c:v>20.727902977267561</c:v>
                </c:pt>
                <c:pt idx="22">
                  <c:v>20.185413563261005</c:v>
                </c:pt>
                <c:pt idx="23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68-D64E-8BA0-DA2864C9ADC1}"/>
            </c:ext>
          </c:extLst>
        </c:ser>
        <c:ser>
          <c:idx val="2"/>
          <c:order val="2"/>
          <c:tx>
            <c:strRef>
              <c:f>DASHBOARD!$D$16</c:f>
              <c:strCache>
                <c:ptCount val="1"/>
                <c:pt idx="0">
                  <c:v>kW Base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DASHBOARD!$D$17:$D$40</c:f>
              <c:numCache>
                <c:formatCode>0.0</c:formatCode>
                <c:ptCount val="24"/>
                <c:pt idx="0">
                  <c:v>95.450266573802026</c:v>
                </c:pt>
                <c:pt idx="1">
                  <c:v>95.932952546134118</c:v>
                </c:pt>
                <c:pt idx="2">
                  <c:v>97.343875565123966</c:v>
                </c:pt>
                <c:pt idx="3">
                  <c:v>99.57478246366793</c:v>
                </c:pt>
                <c:pt idx="4">
                  <c:v>102.45540191638847</c:v>
                </c:pt>
                <c:pt idx="5">
                  <c:v>105.76749409191866</c:v>
                </c:pt>
                <c:pt idx="6">
                  <c:v>109.26238188753001</c:v>
                </c:pt>
                <c:pt idx="7">
                  <c:v>112.68026720083813</c:v>
                </c:pt>
                <c:pt idx="8">
                  <c:v>115.76965156553537</c:v>
                </c:pt>
                <c:pt idx="9">
                  <c:v>118.30538990598311</c:v>
                </c:pt>
                <c:pt idx="10">
                  <c:v>120.10422533622406</c:v>
                </c:pt>
                <c:pt idx="11">
                  <c:v>121.03699476064554</c:v>
                </c:pt>
                <c:pt idx="12">
                  <c:v>121.03699476064554</c:v>
                </c:pt>
                <c:pt idx="13">
                  <c:v>120.10422533622406</c:v>
                </c:pt>
                <c:pt idx="14">
                  <c:v>118.30538990598311</c:v>
                </c:pt>
                <c:pt idx="15">
                  <c:v>115.76965156553537</c:v>
                </c:pt>
                <c:pt idx="16">
                  <c:v>112.68026720083813</c:v>
                </c:pt>
                <c:pt idx="17">
                  <c:v>109.26238188753001</c:v>
                </c:pt>
                <c:pt idx="18">
                  <c:v>105.76749409191866</c:v>
                </c:pt>
                <c:pt idx="19">
                  <c:v>102.45540191638845</c:v>
                </c:pt>
                <c:pt idx="20">
                  <c:v>99.574782463667958</c:v>
                </c:pt>
                <c:pt idx="21">
                  <c:v>97.34387556512398</c:v>
                </c:pt>
                <c:pt idx="22">
                  <c:v>95.932952546134103</c:v>
                </c:pt>
                <c:pt idx="23">
                  <c:v>95.450266573802026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68-D64E-8BA0-DA2864C9A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31034176"/>
        <c:axId val="1730722304"/>
      </c:lineChart>
      <c:catAx>
        <c:axId val="173103417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TR"/>
          </a:p>
        </c:txPr>
        <c:crossAx val="1730722304"/>
        <c:crosses val="autoZero"/>
        <c:auto val="1"/>
        <c:lblAlgn val="ctr"/>
        <c:lblOffset val="100"/>
        <c:noMultiLvlLbl val="0"/>
      </c:catAx>
      <c:valAx>
        <c:axId val="17307223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TR"/>
          </a:p>
        </c:txPr>
        <c:crossAx val="1731034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T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T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266700</xdr:colOff>
      <xdr:row>11</xdr:row>
      <xdr:rowOff>114300</xdr:rowOff>
    </xdr:from>
    <xdr:ext cx="7920000" cy="36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51</xdr:row>
      <xdr:rowOff>0</xdr:rowOff>
    </xdr:from>
    <xdr:ext cx="7920000" cy="360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44</xdr:row>
      <xdr:rowOff>0</xdr:rowOff>
    </xdr:from>
    <xdr:ext cx="6985000" cy="38100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twoCellAnchor>
    <xdr:from>
      <xdr:col>1</xdr:col>
      <xdr:colOff>0</xdr:colOff>
      <xdr:row>44</xdr:row>
      <xdr:rowOff>0</xdr:rowOff>
    </xdr:from>
    <xdr:to>
      <xdr:col>3</xdr:col>
      <xdr:colOff>1219200</xdr:colOff>
      <xdr:row>58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149674-D135-18DC-8D05-21D06CEFC0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35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C11872F7-2760-0D43-A01C-3D2D88D1AD2B}">
  <we:reference id="wa200009404" version="1.0.0.5" store="en-US" storeType="OMEX"/>
  <we:alternateReferences>
    <we:reference id="wa200009404" version="1.0.0.5" store="en-US" storeType="OMEX"/>
  </we:alternateReferences>
  <we:properties>
    <we:property name="Office.AutoShowTaskpaneWithDocument" value="true"/>
  </we:properties>
  <we:bindings/>
  <we:snapshot xmlns:r="http://schemas.openxmlformats.org/officeDocument/2006/relationships"/>
</we:webextension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C3AED"/>
  </sheetPr>
  <dimension ref="B1:E20"/>
  <sheetViews>
    <sheetView showGridLines="0" zoomScale="119" workbookViewId="0">
      <selection activeCell="B26" sqref="B26"/>
    </sheetView>
  </sheetViews>
  <sheetFormatPr baseColWidth="10" defaultColWidth="8.83203125" defaultRowHeight="15" x14ac:dyDescent="0.2"/>
  <cols>
    <col min="1" max="1" width="3.33203125" customWidth="1"/>
    <col min="2" max="2" width="66.6640625" customWidth="1"/>
    <col min="3" max="5" width="30" customWidth="1"/>
    <col min="6" max="6" width="3" customWidth="1"/>
  </cols>
  <sheetData>
    <row r="1" spans="2:5" ht="40" customHeight="1" x14ac:dyDescent="0.2">
      <c r="B1" s="62" t="s">
        <v>91</v>
      </c>
      <c r="C1" s="62"/>
      <c r="D1" s="62"/>
      <c r="E1" s="62"/>
    </row>
    <row r="2" spans="2:5" x14ac:dyDescent="0.2">
      <c r="B2" s="62"/>
      <c r="C2" s="62"/>
      <c r="D2" s="62"/>
      <c r="E2" s="62"/>
    </row>
    <row r="4" spans="2:5" ht="45" customHeight="1" x14ac:dyDescent="0.35">
      <c r="B4" s="63" t="s">
        <v>92</v>
      </c>
      <c r="C4" s="64"/>
      <c r="D4" s="64"/>
      <c r="E4" s="65"/>
    </row>
    <row r="6" spans="2:5" ht="16" x14ac:dyDescent="0.2">
      <c r="B6" s="66" t="s">
        <v>0</v>
      </c>
      <c r="C6" s="67"/>
      <c r="D6" s="67"/>
      <c r="E6" s="68"/>
    </row>
    <row r="8" spans="2:5" ht="16" x14ac:dyDescent="0.2">
      <c r="B8" s="69" t="s">
        <v>93</v>
      </c>
      <c r="C8" s="70"/>
      <c r="D8" s="70"/>
      <c r="E8" s="71"/>
    </row>
    <row r="9" spans="2:5" x14ac:dyDescent="0.2">
      <c r="B9" s="72" t="s">
        <v>94</v>
      </c>
      <c r="C9" s="73"/>
      <c r="D9" s="73"/>
      <c r="E9" s="74"/>
    </row>
    <row r="10" spans="2:5" x14ac:dyDescent="0.2">
      <c r="B10" s="72" t="s">
        <v>95</v>
      </c>
      <c r="C10" s="73"/>
      <c r="D10" s="73"/>
      <c r="E10" s="74"/>
    </row>
    <row r="11" spans="2:5" x14ac:dyDescent="0.2">
      <c r="B11" s="72" t="s">
        <v>96</v>
      </c>
      <c r="C11" s="73"/>
      <c r="D11" s="73"/>
      <c r="E11" s="74"/>
    </row>
    <row r="12" spans="2:5" x14ac:dyDescent="0.2">
      <c r="B12" s="72" t="s">
        <v>97</v>
      </c>
      <c r="C12" s="73"/>
      <c r="D12" s="73"/>
      <c r="E12" s="74"/>
    </row>
    <row r="13" spans="2:5" x14ac:dyDescent="0.2">
      <c r="B13" s="21"/>
      <c r="C13" s="1"/>
      <c r="D13" s="1"/>
      <c r="E13" s="1"/>
    </row>
    <row r="14" spans="2:5" ht="16" x14ac:dyDescent="0.2">
      <c r="B14" s="69" t="s">
        <v>98</v>
      </c>
      <c r="C14" s="70"/>
      <c r="D14" s="70"/>
      <c r="E14" s="71"/>
    </row>
    <row r="15" spans="2:5" x14ac:dyDescent="0.2">
      <c r="B15" s="76" t="s">
        <v>99</v>
      </c>
      <c r="C15" s="77"/>
      <c r="D15" s="77"/>
      <c r="E15" s="78"/>
    </row>
    <row r="16" spans="2:5" x14ac:dyDescent="0.2">
      <c r="B16" s="72" t="s">
        <v>100</v>
      </c>
      <c r="C16" s="73"/>
      <c r="D16" s="73"/>
      <c r="E16" s="74"/>
    </row>
    <row r="17" spans="2:5" x14ac:dyDescent="0.2">
      <c r="B17" s="72" t="s">
        <v>101</v>
      </c>
      <c r="C17" s="73"/>
      <c r="D17" s="73"/>
      <c r="E17" s="74"/>
    </row>
    <row r="20" spans="2:5" x14ac:dyDescent="0.2">
      <c r="B20" s="75" t="s">
        <v>102</v>
      </c>
      <c r="C20" s="75"/>
      <c r="D20" s="75"/>
      <c r="E20" s="75"/>
    </row>
  </sheetData>
  <mergeCells count="13">
    <mergeCell ref="B16:E16"/>
    <mergeCell ref="B17:E17"/>
    <mergeCell ref="B20:E20"/>
    <mergeCell ref="B10:E10"/>
    <mergeCell ref="B11:E11"/>
    <mergeCell ref="B12:E12"/>
    <mergeCell ref="B14:E14"/>
    <mergeCell ref="B15:E15"/>
    <mergeCell ref="B1:E2"/>
    <mergeCell ref="B4:E4"/>
    <mergeCell ref="B6:E6"/>
    <mergeCell ref="B8:E8"/>
    <mergeCell ref="B9:E9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2563EB"/>
  </sheetPr>
  <dimension ref="B2:F38"/>
  <sheetViews>
    <sheetView showGridLines="0" tabSelected="1" zoomScale="119" workbookViewId="0">
      <pane xSplit="1" ySplit="6" topLeftCell="B7" activePane="bottomRight" state="frozen"/>
      <selection pane="topRight"/>
      <selection pane="bottomLeft"/>
      <selection pane="bottomRight" activeCell="K24" sqref="K24"/>
    </sheetView>
  </sheetViews>
  <sheetFormatPr baseColWidth="10" defaultColWidth="8.83203125" defaultRowHeight="15" x14ac:dyDescent="0.2"/>
  <cols>
    <col min="1" max="1" width="3.33203125" customWidth="1"/>
    <col min="2" max="2" width="38.33203125" customWidth="1"/>
    <col min="3" max="4" width="22" customWidth="1"/>
    <col min="5" max="6" width="18" customWidth="1"/>
    <col min="7" max="7" width="3" customWidth="1"/>
  </cols>
  <sheetData>
    <row r="2" spans="2:6" x14ac:dyDescent="0.2">
      <c r="B2" s="86" t="s">
        <v>103</v>
      </c>
      <c r="C2" s="83"/>
      <c r="D2" s="83"/>
      <c r="E2" s="83"/>
      <c r="F2" s="83"/>
    </row>
    <row r="3" spans="2:6" x14ac:dyDescent="0.2">
      <c r="B3" s="83"/>
      <c r="C3" s="83"/>
      <c r="D3" s="83"/>
      <c r="E3" s="83"/>
      <c r="F3" s="83"/>
    </row>
    <row r="5" spans="2:6" ht="16" x14ac:dyDescent="0.2">
      <c r="B5" s="87" t="s">
        <v>104</v>
      </c>
      <c r="C5" s="80"/>
      <c r="D5" s="80"/>
      <c r="E5" s="80"/>
      <c r="F5" s="88"/>
    </row>
    <row r="6" spans="2:6" ht="16" thickBot="1" x14ac:dyDescent="0.25"/>
    <row r="7" spans="2:6" ht="16" thickBot="1" x14ac:dyDescent="0.25">
      <c r="B7" s="50" t="s">
        <v>105</v>
      </c>
      <c r="C7" s="53" t="s">
        <v>1</v>
      </c>
      <c r="D7" s="51" t="s">
        <v>2</v>
      </c>
    </row>
    <row r="8" spans="2:6" ht="16" thickBot="1" x14ac:dyDescent="0.25">
      <c r="B8" s="50" t="s">
        <v>106</v>
      </c>
      <c r="C8" s="53" t="s">
        <v>3</v>
      </c>
      <c r="D8" s="51" t="s">
        <v>4</v>
      </c>
    </row>
    <row r="9" spans="2:6" ht="16" thickBot="1" x14ac:dyDescent="0.25">
      <c r="B9" s="50" t="s">
        <v>107</v>
      </c>
      <c r="C9" s="53" t="s">
        <v>5</v>
      </c>
      <c r="D9" s="51" t="s">
        <v>6</v>
      </c>
    </row>
    <row r="10" spans="2:6" ht="16" thickBot="1" x14ac:dyDescent="0.25">
      <c r="B10" s="50" t="s">
        <v>108</v>
      </c>
      <c r="C10" s="54">
        <v>3.5</v>
      </c>
      <c r="D10" s="51" t="s">
        <v>7</v>
      </c>
    </row>
    <row r="11" spans="2:6" ht="16" thickBot="1" x14ac:dyDescent="0.25">
      <c r="B11" s="50" t="s">
        <v>109</v>
      </c>
      <c r="C11" s="53">
        <v>12</v>
      </c>
      <c r="D11" s="51" t="s">
        <v>8</v>
      </c>
    </row>
    <row r="12" spans="2:6" ht="16" thickBot="1" x14ac:dyDescent="0.25">
      <c r="B12" s="50" t="s">
        <v>110</v>
      </c>
      <c r="C12" s="53">
        <v>22</v>
      </c>
      <c r="D12" s="51" t="s">
        <v>9</v>
      </c>
    </row>
    <row r="13" spans="2:6" ht="16" thickBot="1" x14ac:dyDescent="0.25">
      <c r="B13" s="50" t="s">
        <v>111</v>
      </c>
      <c r="C13" s="52">
        <v>6</v>
      </c>
      <c r="D13" s="51" t="s">
        <v>10</v>
      </c>
    </row>
    <row r="15" spans="2:6" ht="16" x14ac:dyDescent="0.2">
      <c r="B15" s="84" t="s">
        <v>112</v>
      </c>
      <c r="C15" s="80"/>
      <c r="D15" s="80"/>
      <c r="E15" s="80"/>
      <c r="F15" s="85"/>
    </row>
    <row r="16" spans="2:6" ht="16" thickBot="1" x14ac:dyDescent="0.25"/>
    <row r="17" spans="2:6" ht="16" thickBot="1" x14ac:dyDescent="0.25">
      <c r="B17" s="50" t="s">
        <v>113</v>
      </c>
      <c r="C17" s="56">
        <v>500</v>
      </c>
      <c r="D17" s="51" t="s">
        <v>11</v>
      </c>
    </row>
    <row r="18" spans="2:6" ht="16" thickBot="1" x14ac:dyDescent="0.25">
      <c r="B18" s="50" t="s">
        <v>114</v>
      </c>
      <c r="C18" s="56">
        <v>180</v>
      </c>
      <c r="D18" s="51" t="s">
        <v>12</v>
      </c>
    </row>
    <row r="19" spans="2:6" ht="16" thickBot="1" x14ac:dyDescent="0.25">
      <c r="B19" s="50" t="s">
        <v>115</v>
      </c>
      <c r="C19" s="53" t="s">
        <v>13</v>
      </c>
      <c r="D19" s="51" t="s">
        <v>14</v>
      </c>
    </row>
    <row r="20" spans="2:6" ht="16" thickBot="1" x14ac:dyDescent="0.25">
      <c r="B20" s="50" t="s">
        <v>116</v>
      </c>
      <c r="C20" s="53">
        <v>0</v>
      </c>
      <c r="D20" s="51" t="s">
        <v>15</v>
      </c>
    </row>
    <row r="21" spans="2:6" ht="16" thickBot="1" x14ac:dyDescent="0.25">
      <c r="B21" s="50" t="s">
        <v>117</v>
      </c>
      <c r="C21" s="53">
        <v>7</v>
      </c>
      <c r="D21" s="51" t="s">
        <v>16</v>
      </c>
    </row>
    <row r="22" spans="2:6" ht="16" thickBot="1" x14ac:dyDescent="0.25">
      <c r="B22" s="50" t="s">
        <v>118</v>
      </c>
      <c r="C22" s="53">
        <v>12</v>
      </c>
      <c r="D22" s="51" t="s">
        <v>16</v>
      </c>
    </row>
    <row r="23" spans="2:6" ht="16" thickBot="1" x14ac:dyDescent="0.25">
      <c r="B23" s="50" t="s">
        <v>119</v>
      </c>
      <c r="C23" s="55">
        <v>350</v>
      </c>
      <c r="D23" s="51" t="s">
        <v>17</v>
      </c>
    </row>
    <row r="24" spans="2:6" ht="16" x14ac:dyDescent="0.2">
      <c r="B24" s="79" t="s">
        <v>120</v>
      </c>
      <c r="C24" s="80"/>
      <c r="D24" s="80"/>
      <c r="E24" s="80"/>
      <c r="F24" s="81"/>
    </row>
    <row r="26" spans="2:6" x14ac:dyDescent="0.2">
      <c r="B26" s="89" t="s">
        <v>18</v>
      </c>
      <c r="C26" s="83"/>
      <c r="D26" s="83"/>
      <c r="E26" s="83"/>
      <c r="F26" s="83"/>
    </row>
    <row r="28" spans="2:6" ht="16" thickBot="1" x14ac:dyDescent="0.25">
      <c r="B28" s="5" t="s">
        <v>19</v>
      </c>
      <c r="C28" s="5" t="s">
        <v>20</v>
      </c>
      <c r="D28" s="59" t="s">
        <v>21</v>
      </c>
      <c r="E28" s="5" t="s">
        <v>22</v>
      </c>
      <c r="F28" s="5" t="s">
        <v>23</v>
      </c>
    </row>
    <row r="29" spans="2:6" ht="16" thickBot="1" x14ac:dyDescent="0.25">
      <c r="B29" s="6">
        <v>1</v>
      </c>
      <c r="C29" s="57">
        <f>C17*B29</f>
        <v>500</v>
      </c>
      <c r="D29" s="61">
        <v>180</v>
      </c>
      <c r="E29" s="58">
        <f>IFERROR(C29/D29,"")</f>
        <v>2.7777777777777777</v>
      </c>
      <c r="F29" s="7" t="s">
        <v>24</v>
      </c>
    </row>
    <row r="30" spans="2:6" ht="16" thickBot="1" x14ac:dyDescent="0.25">
      <c r="B30" s="6">
        <v>0.75</v>
      </c>
      <c r="C30" s="57">
        <f>C17*B30</f>
        <v>375</v>
      </c>
      <c r="D30" s="61">
        <v>120</v>
      </c>
      <c r="E30" s="58">
        <f>IFERROR(C30/D30,"")</f>
        <v>3.125</v>
      </c>
      <c r="F30" s="7" t="s">
        <v>24</v>
      </c>
    </row>
    <row r="31" spans="2:6" ht="16" thickBot="1" x14ac:dyDescent="0.25">
      <c r="B31" s="6">
        <v>0.5</v>
      </c>
      <c r="C31" s="57">
        <f>C17*B31</f>
        <v>250</v>
      </c>
      <c r="D31" s="61">
        <v>75</v>
      </c>
      <c r="E31" s="58">
        <f>IFERROR(C31/D31,"")</f>
        <v>3.3333333333333335</v>
      </c>
      <c r="F31" s="7" t="s">
        <v>24</v>
      </c>
    </row>
    <row r="32" spans="2:6" ht="16" thickBot="1" x14ac:dyDescent="0.25">
      <c r="B32" s="6">
        <v>0.25</v>
      </c>
      <c r="C32" s="57">
        <f>C17*B32</f>
        <v>125</v>
      </c>
      <c r="D32" s="60">
        <v>38</v>
      </c>
      <c r="E32" s="58">
        <f>IFERROR(C32/D32,"")</f>
        <v>3.2894736842105261</v>
      </c>
      <c r="F32" s="7" t="s">
        <v>24</v>
      </c>
    </row>
    <row r="34" spans="2:6" ht="21" x14ac:dyDescent="0.25">
      <c r="B34" s="41" t="s">
        <v>138</v>
      </c>
      <c r="C34" s="42">
        <f>IF(COUNTA(D29:D32)&lt;4,"", 1/(0.01*D29/C29 + 0.42*D30/C30 + 0.45*D31/C31 + 0.12*D32/C32))</f>
        <v>3.2312265736073411</v>
      </c>
      <c r="D34" s="43" t="s">
        <v>22</v>
      </c>
    </row>
    <row r="35" spans="2:6" ht="21" x14ac:dyDescent="0.25">
      <c r="B35" s="44" t="s">
        <v>139</v>
      </c>
      <c r="C35" s="45">
        <f>IF(COUNTA(D29:D32)&lt;4,"", 1/(0.02*D29/C29 + 0.617*D30/C30 + 0.238*D31/C31 + 0.125*D32/C32))</f>
        <v>3.1843077314991728</v>
      </c>
      <c r="D35" s="46" t="s">
        <v>22</v>
      </c>
    </row>
    <row r="36" spans="2:6" ht="21" x14ac:dyDescent="0.25">
      <c r="B36" s="47" t="s">
        <v>140</v>
      </c>
      <c r="C36" s="48">
        <f>IF(COUNTA(D29:D32)&lt;4,"", 1/(0.03*D29/C29 + 0.33*D30/C30 + 0.41*D31/C31 + 0.23*D32/C32))</f>
        <v>3.2328979697400753</v>
      </c>
      <c r="D36" s="49" t="s">
        <v>22</v>
      </c>
    </row>
    <row r="38" spans="2:6" x14ac:dyDescent="0.2">
      <c r="B38" s="82" t="s">
        <v>25</v>
      </c>
      <c r="C38" s="83"/>
      <c r="D38" s="83"/>
      <c r="E38" s="83"/>
      <c r="F38" s="83"/>
    </row>
  </sheetData>
  <mergeCells count="6">
    <mergeCell ref="B24:F24"/>
    <mergeCell ref="B38:F38"/>
    <mergeCell ref="B15:F15"/>
    <mergeCell ref="B2:F3"/>
    <mergeCell ref="B5:F5"/>
    <mergeCell ref="B26:F26"/>
  </mergeCells>
  <conditionalFormatting sqref="C34:C36">
    <cfRule type="colorScale" priority="2">
      <colorScale>
        <cfvo type="min"/>
        <cfvo type="max"/>
        <color rgb="FFFDE68A"/>
        <color rgb="FF86EFAC"/>
      </colorScale>
    </cfRule>
  </conditionalFormatting>
  <conditionalFormatting sqref="E29:E32">
    <cfRule type="colorScale" priority="1">
      <colorScale>
        <cfvo type="min"/>
        <cfvo type="percentile" val="50"/>
        <cfvo type="max"/>
        <color rgb="FFFCA5A5"/>
        <color rgb="FFFDE68A"/>
        <color rgb="FF86EFAC"/>
      </colorScale>
    </cfRule>
  </conditionalFormatting>
  <dataValidations count="8">
    <dataValidation type="list" allowBlank="1" sqref="C8" xr:uid="{00000000-0002-0000-0100-000000000000}">
      <formula1>"İstanbul,Ankara,İzmir,Bursa"</formula1>
    </dataValidation>
    <dataValidation type="list" allowBlank="1" sqref="C9" xr:uid="{00000000-0002-0000-0100-000001000000}">
      <formula1>"Ocak,Şubat,Mart,Nisan,Mayıs,Haziran,Temmuz,Ağustos,Eylül,Ekim,Kasım,Aralık"</formula1>
    </dataValidation>
    <dataValidation type="list" allowBlank="1" sqref="C19" xr:uid="{00000000-0002-0000-0100-000002000000}">
      <formula1>"SN,HE"</formula1>
    </dataValidation>
    <dataValidation type="whole" allowBlank="1" showErrorMessage="1" errorTitle="Geçersiz Değer" error="Glikol oranı 0-30 arasında olmalıdır." sqref="C20" xr:uid="{00000000-0002-0000-0100-000003000000}">
      <formula1>0</formula1>
      <formula2>30</formula2>
    </dataValidation>
    <dataValidation type="decimal" operator="greaterThanOrEqual" allowBlank="1" sqref="C10 C17 C18 C21 C22 C23 D29 D30 D31 D32" xr:uid="{00000000-0002-0000-0100-000004000000}">
      <formula1>0</formula1>
    </dataValidation>
    <dataValidation type="whole" allowBlank="1" sqref="C11" xr:uid="{5AF64667-C355-DF40-A7C5-00AA45656A24}">
      <formula1>1</formula1>
      <formula2>24</formula2>
    </dataValidation>
    <dataValidation type="whole" allowBlank="1" sqref="C12" xr:uid="{8BA02D90-766E-BC4C-8F0B-2179C178FD7F}">
      <formula1>1</formula1>
      <formula2>31</formula2>
    </dataValidation>
    <dataValidation type="whole" allowBlank="1" sqref="C13" xr:uid="{1E52A3F3-8EBC-CE45-A61E-4745CC1063C3}">
      <formula1>1</formula1>
      <formula2>12</formula2>
    </dataValidation>
  </dataValidations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59E0B"/>
  </sheetPr>
  <dimension ref="B2:M58"/>
  <sheetViews>
    <sheetView showGridLines="0" workbookViewId="0">
      <pane xSplit="1" ySplit="7" topLeftCell="B8" activePane="bottomRight" state="frozen"/>
      <selection pane="topRight"/>
      <selection pane="bottomLeft"/>
      <selection pane="bottomRight" activeCell="F28" sqref="F28"/>
    </sheetView>
  </sheetViews>
  <sheetFormatPr baseColWidth="10" defaultColWidth="8.83203125" defaultRowHeight="15" x14ac:dyDescent="0.2"/>
  <cols>
    <col min="1" max="1" width="3" customWidth="1"/>
    <col min="2" max="5" width="14" customWidth="1"/>
    <col min="6" max="6" width="22" customWidth="1"/>
    <col min="7" max="7" width="10" customWidth="1"/>
    <col min="8" max="8" width="3" customWidth="1"/>
    <col min="10" max="13" width="12" customWidth="1"/>
  </cols>
  <sheetData>
    <row r="2" spans="2:13" x14ac:dyDescent="0.2">
      <c r="B2" s="86" t="s">
        <v>130</v>
      </c>
      <c r="C2" s="83"/>
      <c r="D2" s="83"/>
      <c r="E2" s="83"/>
      <c r="F2" s="83"/>
      <c r="G2" s="83"/>
    </row>
    <row r="3" spans="2:13" x14ac:dyDescent="0.2">
      <c r="B3" s="83"/>
      <c r="C3" s="83"/>
      <c r="D3" s="83"/>
      <c r="E3" s="83"/>
      <c r="F3" s="83"/>
      <c r="G3" s="83"/>
    </row>
    <row r="5" spans="2:13" x14ac:dyDescent="0.2">
      <c r="B5" s="82" t="s">
        <v>26</v>
      </c>
      <c r="C5" s="83"/>
      <c r="D5" s="83"/>
      <c r="E5" s="83"/>
      <c r="F5" s="83"/>
      <c r="G5" s="83"/>
    </row>
    <row r="6" spans="2:13" x14ac:dyDescent="0.2">
      <c r="J6" s="8" t="s">
        <v>27</v>
      </c>
    </row>
    <row r="7" spans="2:13" x14ac:dyDescent="0.2">
      <c r="B7" s="5" t="s">
        <v>28</v>
      </c>
      <c r="C7" s="5" t="s">
        <v>29</v>
      </c>
      <c r="D7" s="5" t="s">
        <v>30</v>
      </c>
      <c r="E7" s="5" t="s">
        <v>31</v>
      </c>
      <c r="F7" s="5" t="s">
        <v>23</v>
      </c>
      <c r="G7" s="5" t="s">
        <v>32</v>
      </c>
      <c r="J7" s="9" t="s">
        <v>3</v>
      </c>
    </row>
    <row r="8" spans="2:13" ht="16" x14ac:dyDescent="0.2">
      <c r="B8" s="6" t="s">
        <v>33</v>
      </c>
      <c r="C8" s="6" cm="1">
        <f t="array" ref="C8">_xlfn.LET(_xlpm.city,INPUTS!$C$8, _xlpm.sr, IF(_xlpm.city="İstanbul",8,IF(_xlpm.city="Ankara",21,IF(_xlpm.city="İzmir",34,47))), INDEX($K$8:$K$59, _xlpm.sr-7 + ROW()-8))</f>
        <v>4</v>
      </c>
      <c r="D8" s="6" cm="1">
        <f t="array" ref="D8">_xlfn.LET(_xlpm.city,INPUTS!$C$8, _xlpm.sr, IF(_xlpm.city="İstanbul",8,IF(_xlpm.city="Ankara",21,IF(_xlpm.city="İzmir",34,47))), INDEX($L$8:$L$59, _xlpm.sr-7 + ROW()-8))</f>
        <v>8</v>
      </c>
      <c r="E8" s="6" cm="1">
        <f t="array" ref="E8">_xlfn.LET(_xlpm.city,INPUTS!$C$8, _xlpm.sr, IF(_xlpm.city="İstanbul",8,IF(_xlpm.city="Ankara",21,IF(_xlpm.city="İzmir",34,47))), INDEX($M$8:$M$59, _xlpm.sr-7 + ROW()-8))</f>
        <v>12</v>
      </c>
      <c r="F8" s="7" t="s">
        <v>34</v>
      </c>
      <c r="G8" s="10" t="str">
        <f>IF(INPUTS!$C$9=B8,"◉","")</f>
        <v/>
      </c>
      <c r="J8" s="11" t="s">
        <v>33</v>
      </c>
      <c r="K8" s="12">
        <v>4</v>
      </c>
      <c r="L8" s="12">
        <v>8</v>
      </c>
      <c r="M8" s="12">
        <v>12</v>
      </c>
    </row>
    <row r="9" spans="2:13" ht="16" x14ac:dyDescent="0.2">
      <c r="B9" s="6" t="s">
        <v>35</v>
      </c>
      <c r="C9" s="6" cm="1">
        <f t="array" ref="C9">_xlfn.LET(_xlpm.city,INPUTS!$C$8, _xlpm.sr, IF(_xlpm.city="İstanbul",8,IF(_xlpm.city="Ankara",21,IF(_xlpm.city="İzmir",34,47))), INDEX($K$8:$K$59, _xlpm.sr-7 + ROW()-8))</f>
        <v>4</v>
      </c>
      <c r="D9" s="6" cm="1">
        <f t="array" ref="D9">_xlfn.LET(_xlpm.city,INPUTS!$C$8, _xlpm.sr, IF(_xlpm.city="İstanbul",8,IF(_xlpm.city="Ankara",21,IF(_xlpm.city="İzmir",34,47))), INDEX($L$8:$L$59, _xlpm.sr-7 + ROW()-8))</f>
        <v>9</v>
      </c>
      <c r="E9" s="6" cm="1">
        <f t="array" ref="E9">_xlfn.LET(_xlpm.city,INPUTS!$C$8, _xlpm.sr, IF(_xlpm.city="İstanbul",8,IF(_xlpm.city="Ankara",21,IF(_xlpm.city="İzmir",34,47))), INDEX($M$8:$M$59, _xlpm.sr-7 + ROW()-8))</f>
        <v>13</v>
      </c>
      <c r="F9" s="7" t="s">
        <v>34</v>
      </c>
      <c r="G9" s="10" t="str">
        <f>IF(INPUTS!$C$9=B9,"◉","")</f>
        <v/>
      </c>
      <c r="J9" s="11" t="s">
        <v>35</v>
      </c>
      <c r="K9" s="12">
        <v>4</v>
      </c>
      <c r="L9" s="12">
        <v>9</v>
      </c>
      <c r="M9" s="12">
        <v>13</v>
      </c>
    </row>
    <row r="10" spans="2:13" ht="16" x14ac:dyDescent="0.2">
      <c r="B10" s="6" t="s">
        <v>36</v>
      </c>
      <c r="C10" s="6" cm="1">
        <f t="array" ref="C10">_xlfn.LET(_xlpm.city,INPUTS!$C$8, _xlpm.sr, IF(_xlpm.city="İstanbul",8,IF(_xlpm.city="Ankara",21,IF(_xlpm.city="İzmir",34,47))), INDEX($K$8:$K$59, _xlpm.sr-7 + ROW()-8))</f>
        <v>6</v>
      </c>
      <c r="D10" s="6" cm="1">
        <f t="array" ref="D10">_xlfn.LET(_xlpm.city,INPUTS!$C$8, _xlpm.sr, IF(_xlpm.city="İstanbul",8,IF(_xlpm.city="Ankara",21,IF(_xlpm.city="İzmir",34,47))), INDEX($L$8:$L$59, _xlpm.sr-7 + ROW()-8))</f>
        <v>11</v>
      </c>
      <c r="E10" s="6" cm="1">
        <f t="array" ref="E10">_xlfn.LET(_xlpm.city,INPUTS!$C$8, _xlpm.sr, IF(_xlpm.city="İstanbul",8,IF(_xlpm.city="Ankara",21,IF(_xlpm.city="İzmir",34,47))), INDEX($M$8:$M$59, _xlpm.sr-7 + ROW()-8))</f>
        <v>16</v>
      </c>
      <c r="F10" s="7" t="s">
        <v>34</v>
      </c>
      <c r="G10" s="10" t="str">
        <f>IF(INPUTS!$C$9=B10,"◉","")</f>
        <v/>
      </c>
      <c r="J10" s="11" t="s">
        <v>36</v>
      </c>
      <c r="K10" s="12">
        <v>6</v>
      </c>
      <c r="L10" s="12">
        <v>11</v>
      </c>
      <c r="M10" s="12">
        <v>16</v>
      </c>
    </row>
    <row r="11" spans="2:13" ht="16" x14ac:dyDescent="0.2">
      <c r="B11" s="6" t="s">
        <v>37</v>
      </c>
      <c r="C11" s="6" cm="1">
        <f t="array" ref="C11">_xlfn.LET(_xlpm.city,INPUTS!$C$8, _xlpm.sr, IF(_xlpm.city="İstanbul",8,IF(_xlpm.city="Ankara",21,IF(_xlpm.city="İzmir",34,47))), INDEX($K$8:$K$59, _xlpm.sr-7 + ROW()-8))</f>
        <v>9</v>
      </c>
      <c r="D11" s="6" cm="1">
        <f t="array" ref="D11">_xlfn.LET(_xlpm.city,INPUTS!$C$8, _xlpm.sr, IF(_xlpm.city="İstanbul",8,IF(_xlpm.city="Ankara",21,IF(_xlpm.city="İzmir",34,47))), INDEX($L$8:$L$59, _xlpm.sr-7 + ROW()-8))</f>
        <v>14</v>
      </c>
      <c r="E11" s="6" cm="1">
        <f t="array" ref="E11">_xlfn.LET(_xlpm.city,INPUTS!$C$8, _xlpm.sr, IF(_xlpm.city="İstanbul",8,IF(_xlpm.city="Ankara",21,IF(_xlpm.city="İzmir",34,47))), INDEX($M$8:$M$59, _xlpm.sr-7 + ROW()-8))</f>
        <v>19</v>
      </c>
      <c r="F11" s="7" t="s">
        <v>34</v>
      </c>
      <c r="G11" s="10" t="str">
        <f>IF(INPUTS!$C$9=B11,"◉","")</f>
        <v/>
      </c>
      <c r="J11" s="11" t="s">
        <v>37</v>
      </c>
      <c r="K11" s="12">
        <v>9</v>
      </c>
      <c r="L11" s="12">
        <v>14</v>
      </c>
      <c r="M11" s="12">
        <v>19</v>
      </c>
    </row>
    <row r="12" spans="2:13" ht="16" x14ac:dyDescent="0.2">
      <c r="B12" s="6" t="s">
        <v>38</v>
      </c>
      <c r="C12" s="6" cm="1">
        <f t="array" ref="C12">_xlfn.LET(_xlpm.city,INPUTS!$C$8, _xlpm.sr, IF(_xlpm.city="İstanbul",8,IF(_xlpm.city="Ankara",21,IF(_xlpm.city="İzmir",34,47))), INDEX($K$8:$K$59, _xlpm.sr-7 + ROW()-8))</f>
        <v>13</v>
      </c>
      <c r="D12" s="6" cm="1">
        <f t="array" ref="D12">_xlfn.LET(_xlpm.city,INPUTS!$C$8, _xlpm.sr, IF(_xlpm.city="İstanbul",8,IF(_xlpm.city="Ankara",21,IF(_xlpm.city="İzmir",34,47))), INDEX($L$8:$L$59, _xlpm.sr-7 + ROW()-8))</f>
        <v>18</v>
      </c>
      <c r="E12" s="6" cm="1">
        <f t="array" ref="E12">_xlfn.LET(_xlpm.city,INPUTS!$C$8, _xlpm.sr, IF(_xlpm.city="İstanbul",8,IF(_xlpm.city="Ankara",21,IF(_xlpm.city="İzmir",34,47))), INDEX($M$8:$M$59, _xlpm.sr-7 + ROW()-8))</f>
        <v>23</v>
      </c>
      <c r="F12" s="7" t="s">
        <v>34</v>
      </c>
      <c r="G12" s="10" t="str">
        <f>IF(INPUTS!$C$9=B12,"◉","")</f>
        <v/>
      </c>
      <c r="J12" s="11" t="s">
        <v>38</v>
      </c>
      <c r="K12" s="12">
        <v>13</v>
      </c>
      <c r="L12" s="12">
        <v>18</v>
      </c>
      <c r="M12" s="12">
        <v>23</v>
      </c>
    </row>
    <row r="13" spans="2:13" ht="16" x14ac:dyDescent="0.2">
      <c r="B13" s="6" t="s">
        <v>39</v>
      </c>
      <c r="C13" s="6" cm="1">
        <f t="array" ref="C13">_xlfn.LET(_xlpm.city,INPUTS!$C$8, _xlpm.sr, IF(_xlpm.city="İstanbul",8,IF(_xlpm.city="Ankara",21,IF(_xlpm.city="İzmir",34,47))), INDEX($K$8:$K$59, _xlpm.sr-7 + ROW()-8))</f>
        <v>17</v>
      </c>
      <c r="D13" s="6" cm="1">
        <f t="array" ref="D13">_xlfn.LET(_xlpm.city,INPUTS!$C$8, _xlpm.sr, IF(_xlpm.city="İstanbul",8,IF(_xlpm.city="Ankara",21,IF(_xlpm.city="İzmir",34,47))), INDEX($L$8:$L$59, _xlpm.sr-7 + ROW()-8))</f>
        <v>22</v>
      </c>
      <c r="E13" s="6" cm="1">
        <f t="array" ref="E13">_xlfn.LET(_xlpm.city,INPUTS!$C$8, _xlpm.sr, IF(_xlpm.city="İstanbul",8,IF(_xlpm.city="Ankara",21,IF(_xlpm.city="İzmir",34,47))), INDEX($M$8:$M$59, _xlpm.sr-7 + ROW()-8))</f>
        <v>27</v>
      </c>
      <c r="F13" s="7" t="s">
        <v>34</v>
      </c>
      <c r="G13" s="10" t="str">
        <f>IF(INPUTS!$C$9=B13,"◉","")</f>
        <v/>
      </c>
      <c r="J13" s="11" t="s">
        <v>39</v>
      </c>
      <c r="K13" s="12">
        <v>17</v>
      </c>
      <c r="L13" s="12">
        <v>22</v>
      </c>
      <c r="M13" s="12">
        <v>27</v>
      </c>
    </row>
    <row r="14" spans="2:13" ht="16" x14ac:dyDescent="0.2">
      <c r="B14" s="6" t="s">
        <v>5</v>
      </c>
      <c r="C14" s="6" cm="1">
        <f t="array" ref="C14">_xlfn.LET(_xlpm.city,INPUTS!$C$8, _xlpm.sr, IF(_xlpm.city="İstanbul",8,IF(_xlpm.city="Ankara",21,IF(_xlpm.city="İzmir",34,47))), INDEX($K$8:$K$59, _xlpm.sr-7 + ROW()-8))</f>
        <v>20</v>
      </c>
      <c r="D14" s="6" cm="1">
        <f t="array" ref="D14">_xlfn.LET(_xlpm.city,INPUTS!$C$8, _xlpm.sr, IF(_xlpm.city="İstanbul",8,IF(_xlpm.city="Ankara",21,IF(_xlpm.city="İzmir",34,47))), INDEX($L$8:$L$59, _xlpm.sr-7 + ROW()-8))</f>
        <v>25</v>
      </c>
      <c r="E14" s="6" cm="1">
        <f t="array" ref="E14">_xlfn.LET(_xlpm.city,INPUTS!$C$8, _xlpm.sr, IF(_xlpm.city="İstanbul",8,IF(_xlpm.city="Ankara",21,IF(_xlpm.city="İzmir",34,47))), INDEX($M$8:$M$59, _xlpm.sr-7 + ROW()-8))</f>
        <v>30</v>
      </c>
      <c r="F14" s="7" t="s">
        <v>34</v>
      </c>
      <c r="G14" s="10" t="str">
        <f>IF(INPUTS!$C$9=B14,"◉","")</f>
        <v>◉</v>
      </c>
      <c r="J14" s="11" t="s">
        <v>5</v>
      </c>
      <c r="K14" s="12">
        <v>20</v>
      </c>
      <c r="L14" s="12">
        <v>25</v>
      </c>
      <c r="M14" s="12">
        <v>30</v>
      </c>
    </row>
    <row r="15" spans="2:13" ht="16" x14ac:dyDescent="0.2">
      <c r="B15" s="6" t="s">
        <v>40</v>
      </c>
      <c r="C15" s="6" cm="1">
        <f t="array" ref="C15">_xlfn.LET(_xlpm.city,INPUTS!$C$8, _xlpm.sr, IF(_xlpm.city="İstanbul",8,IF(_xlpm.city="Ankara",21,IF(_xlpm.city="İzmir",34,47))), INDEX($K$8:$K$59, _xlpm.sr-7 + ROW()-8))</f>
        <v>20</v>
      </c>
      <c r="D15" s="6" cm="1">
        <f t="array" ref="D15">_xlfn.LET(_xlpm.city,INPUTS!$C$8, _xlpm.sr, IF(_xlpm.city="İstanbul",8,IF(_xlpm.city="Ankara",21,IF(_xlpm.city="İzmir",34,47))), INDEX($L$8:$L$59, _xlpm.sr-7 + ROW()-8))</f>
        <v>25</v>
      </c>
      <c r="E15" s="6" cm="1">
        <f t="array" ref="E15">_xlfn.LET(_xlpm.city,INPUTS!$C$8, _xlpm.sr, IF(_xlpm.city="İstanbul",8,IF(_xlpm.city="Ankara",21,IF(_xlpm.city="İzmir",34,47))), INDEX($M$8:$M$59, _xlpm.sr-7 + ROW()-8))</f>
        <v>30</v>
      </c>
      <c r="F15" s="7" t="s">
        <v>34</v>
      </c>
      <c r="G15" s="10" t="str">
        <f>IF(INPUTS!$C$9=B15,"◉","")</f>
        <v/>
      </c>
      <c r="J15" s="11" t="s">
        <v>40</v>
      </c>
      <c r="K15" s="12">
        <v>20</v>
      </c>
      <c r="L15" s="12">
        <v>25</v>
      </c>
      <c r="M15" s="12">
        <v>30</v>
      </c>
    </row>
    <row r="16" spans="2:13" ht="16" x14ac:dyDescent="0.2">
      <c r="B16" s="6" t="s">
        <v>41</v>
      </c>
      <c r="C16" s="6" cm="1">
        <f t="array" ref="C16">_xlfn.LET(_xlpm.city,INPUTS!$C$8, _xlpm.sr, IF(_xlpm.city="İstanbul",8,IF(_xlpm.city="Ankara",21,IF(_xlpm.city="İzmir",34,47))), INDEX($K$8:$K$59, _xlpm.sr-7 + ROW()-8))</f>
        <v>17</v>
      </c>
      <c r="D16" s="6" cm="1">
        <f t="array" ref="D16">_xlfn.LET(_xlpm.city,INPUTS!$C$8, _xlpm.sr, IF(_xlpm.city="İstanbul",8,IF(_xlpm.city="Ankara",21,IF(_xlpm.city="İzmir",34,47))), INDEX($L$8:$L$59, _xlpm.sr-7 + ROW()-8))</f>
        <v>22</v>
      </c>
      <c r="E16" s="6" cm="1">
        <f t="array" ref="E16">_xlfn.LET(_xlpm.city,INPUTS!$C$8, _xlpm.sr, IF(_xlpm.city="İstanbul",8,IF(_xlpm.city="Ankara",21,IF(_xlpm.city="İzmir",34,47))), INDEX($M$8:$M$59, _xlpm.sr-7 + ROW()-8))</f>
        <v>27</v>
      </c>
      <c r="F16" s="7" t="s">
        <v>34</v>
      </c>
      <c r="G16" s="10" t="str">
        <f>IF(INPUTS!$C$9=B16,"◉","")</f>
        <v/>
      </c>
      <c r="J16" s="11" t="s">
        <v>41</v>
      </c>
      <c r="K16" s="12">
        <v>17</v>
      </c>
      <c r="L16" s="12">
        <v>22</v>
      </c>
      <c r="M16" s="12">
        <v>27</v>
      </c>
    </row>
    <row r="17" spans="2:13" ht="16" x14ac:dyDescent="0.2">
      <c r="B17" s="6" t="s">
        <v>42</v>
      </c>
      <c r="C17" s="6" cm="1">
        <f t="array" ref="C17">_xlfn.LET(_xlpm.city,INPUTS!$C$8, _xlpm.sr, IF(_xlpm.city="İstanbul",8,IF(_xlpm.city="Ankara",21,IF(_xlpm.city="İzmir",34,47))), INDEX($K$8:$K$59, _xlpm.sr-7 + ROW()-8))</f>
        <v>13</v>
      </c>
      <c r="D17" s="6" cm="1">
        <f t="array" ref="D17">_xlfn.LET(_xlpm.city,INPUTS!$C$8, _xlpm.sr, IF(_xlpm.city="İstanbul",8,IF(_xlpm.city="Ankara",21,IF(_xlpm.city="İzmir",34,47))), INDEX($L$8:$L$59, _xlpm.sr-7 + ROW()-8))</f>
        <v>18</v>
      </c>
      <c r="E17" s="6" cm="1">
        <f t="array" ref="E17">_xlfn.LET(_xlpm.city,INPUTS!$C$8, _xlpm.sr, IF(_xlpm.city="İstanbul",8,IF(_xlpm.city="Ankara",21,IF(_xlpm.city="İzmir",34,47))), INDEX($M$8:$M$59, _xlpm.sr-7 + ROW()-8))</f>
        <v>22</v>
      </c>
      <c r="F17" s="7" t="s">
        <v>34</v>
      </c>
      <c r="G17" s="10" t="str">
        <f>IF(INPUTS!$C$9=B17,"◉","")</f>
        <v/>
      </c>
      <c r="J17" s="11" t="s">
        <v>42</v>
      </c>
      <c r="K17" s="12">
        <v>13</v>
      </c>
      <c r="L17" s="12">
        <v>18</v>
      </c>
      <c r="M17" s="12">
        <v>22</v>
      </c>
    </row>
    <row r="18" spans="2:13" ht="16" x14ac:dyDescent="0.2">
      <c r="B18" s="6" t="s">
        <v>43</v>
      </c>
      <c r="C18" s="6" cm="1">
        <f t="array" ref="C18">_xlfn.LET(_xlpm.city,INPUTS!$C$8, _xlpm.sr, IF(_xlpm.city="İstanbul",8,IF(_xlpm.city="Ankara",21,IF(_xlpm.city="İzmir",34,47))), INDEX($K$8:$K$59, _xlpm.sr-7 + ROW()-8))</f>
        <v>9</v>
      </c>
      <c r="D18" s="6" cm="1">
        <f t="array" ref="D18">_xlfn.LET(_xlpm.city,INPUTS!$C$8, _xlpm.sr, IF(_xlpm.city="İstanbul",8,IF(_xlpm.city="Ankara",21,IF(_xlpm.city="İzmir",34,47))), INDEX($L$8:$L$59, _xlpm.sr-7 + ROW()-8))</f>
        <v>13</v>
      </c>
      <c r="E18" s="6" cm="1">
        <f t="array" ref="E18">_xlfn.LET(_xlpm.city,INPUTS!$C$8, _xlpm.sr, IF(_xlpm.city="İstanbul",8,IF(_xlpm.city="Ankara",21,IF(_xlpm.city="İzmir",34,47))), INDEX($M$8:$M$59, _xlpm.sr-7 + ROW()-8))</f>
        <v>17</v>
      </c>
      <c r="F18" s="7" t="s">
        <v>34</v>
      </c>
      <c r="G18" s="10" t="str">
        <f>IF(INPUTS!$C$9=B18,"◉","")</f>
        <v/>
      </c>
      <c r="J18" s="11" t="s">
        <v>43</v>
      </c>
      <c r="K18" s="12">
        <v>9</v>
      </c>
      <c r="L18" s="12">
        <v>13</v>
      </c>
      <c r="M18" s="12">
        <v>17</v>
      </c>
    </row>
    <row r="19" spans="2:13" ht="16" x14ac:dyDescent="0.2">
      <c r="B19" s="6" t="s">
        <v>44</v>
      </c>
      <c r="C19" s="6" cm="1">
        <f t="array" ref="C19">_xlfn.LET(_xlpm.city,INPUTS!$C$8, _xlpm.sr, IF(_xlpm.city="İstanbul",8,IF(_xlpm.city="Ankara",21,IF(_xlpm.city="İzmir",34,47))), INDEX($K$8:$K$59, _xlpm.sr-7 + ROW()-8))</f>
        <v>6</v>
      </c>
      <c r="D19" s="6" cm="1">
        <f t="array" ref="D19">_xlfn.LET(_xlpm.city,INPUTS!$C$8, _xlpm.sr, IF(_xlpm.city="İstanbul",8,IF(_xlpm.city="Ankara",21,IF(_xlpm.city="İzmir",34,47))), INDEX($L$8:$L$59, _xlpm.sr-7 + ROW()-8))</f>
        <v>10</v>
      </c>
      <c r="E19" s="6" cm="1">
        <f t="array" ref="E19">_xlfn.LET(_xlpm.city,INPUTS!$C$8, _xlpm.sr, IF(_xlpm.city="İstanbul",8,IF(_xlpm.city="Ankara",21,IF(_xlpm.city="İzmir",34,47))), INDEX($M$8:$M$59, _xlpm.sr-7 + ROW()-8))</f>
        <v>14</v>
      </c>
      <c r="F19" s="7" t="s">
        <v>34</v>
      </c>
      <c r="G19" s="10" t="str">
        <f>IF(INPUTS!$C$9=B19,"◉","")</f>
        <v/>
      </c>
      <c r="J19" s="11" t="s">
        <v>44</v>
      </c>
      <c r="K19" s="12">
        <v>6</v>
      </c>
      <c r="L19" s="12">
        <v>10</v>
      </c>
      <c r="M19" s="12">
        <v>14</v>
      </c>
    </row>
    <row r="20" spans="2:13" x14ac:dyDescent="0.2">
      <c r="J20" s="9" t="s">
        <v>45</v>
      </c>
    </row>
    <row r="21" spans="2:13" ht="16" x14ac:dyDescent="0.2">
      <c r="B21" s="90" t="s">
        <v>131</v>
      </c>
      <c r="C21" s="80"/>
      <c r="D21" s="80"/>
      <c r="E21" s="80"/>
      <c r="F21" s="80"/>
      <c r="G21" s="80"/>
      <c r="J21" s="11" t="s">
        <v>33</v>
      </c>
      <c r="K21" s="12">
        <v>-3</v>
      </c>
      <c r="L21" s="12">
        <v>1</v>
      </c>
      <c r="M21" s="12">
        <v>6</v>
      </c>
    </row>
    <row r="22" spans="2:13" x14ac:dyDescent="0.2">
      <c r="B22" s="5" t="s">
        <v>46</v>
      </c>
      <c r="C22" s="5" t="s">
        <v>47</v>
      </c>
      <c r="D22" s="5" t="s">
        <v>48</v>
      </c>
      <c r="J22" s="11" t="s">
        <v>35</v>
      </c>
      <c r="K22" s="12">
        <v>-2</v>
      </c>
      <c r="L22" s="12">
        <v>3</v>
      </c>
      <c r="M22" s="12">
        <v>8</v>
      </c>
    </row>
    <row r="23" spans="2:13" x14ac:dyDescent="0.2">
      <c r="B23" s="6">
        <v>0</v>
      </c>
      <c r="C23" s="7">
        <v>0</v>
      </c>
      <c r="D23" s="18" cm="1">
        <f t="array" ref="D23">_xlfn.LET(_xlpm.mr, MATCH(INPUTS!$C$9,$B$8:$B$19,0)+7, _xlpm.tmin, INDEX($C$8:$C$19,_xlpm.mr-7), _xlpm.tmax, INDEX($E$8:$E$19,_xlpm.mr-7), _xlpm.mean_val,(_xlpm.tmin+_xlpm.tmax)/2, _xlpm.amp,(_xlpm.tmax-_xlpm.tmin)/2, _xlpm.frac, C23, _xlpm.mean_val + _xlpm.amp*SIN((_xlpm.frac-0.25)*2*PI()))</f>
        <v>20</v>
      </c>
      <c r="J23" s="11" t="s">
        <v>36</v>
      </c>
      <c r="K23" s="12">
        <v>1</v>
      </c>
      <c r="L23" s="12">
        <v>7</v>
      </c>
      <c r="M23" s="12">
        <v>13</v>
      </c>
    </row>
    <row r="24" spans="2:13" x14ac:dyDescent="0.2">
      <c r="B24" s="6">
        <v>1</v>
      </c>
      <c r="C24" s="7">
        <v>4.3478260869565223E-2</v>
      </c>
      <c r="D24" s="18" cm="1">
        <f t="array" ref="D24">_xlfn.LET(_xlpm.mr, MATCH(INPUTS!$C$9,$B$8:$B$19,0)+7, _xlpm.tmin, INDEX($C$8:$C$19,_xlpm.mr-7), _xlpm.tmax, INDEX($E$8:$E$19,_xlpm.mr-7), _xlpm.mean_val,(_xlpm.tmin+_xlpm.tmax)/2, _xlpm.amp,(_xlpm.tmax-_xlpm.tmin)/2, _xlpm.frac, C24, _xlpm.mean_val + _xlpm.amp*SIN((_xlpm.frac-0.25)*2*PI()))</f>
        <v>20.185413563261001</v>
      </c>
      <c r="J24" s="11" t="s">
        <v>37</v>
      </c>
      <c r="K24" s="12">
        <v>6</v>
      </c>
      <c r="L24" s="12">
        <v>12</v>
      </c>
      <c r="M24" s="12">
        <v>18</v>
      </c>
    </row>
    <row r="25" spans="2:13" x14ac:dyDescent="0.2">
      <c r="B25" s="6">
        <v>2</v>
      </c>
      <c r="C25" s="7">
        <v>8.6956521739130432E-2</v>
      </c>
      <c r="D25" s="18" cm="1">
        <f t="array" ref="D25">_xlfn.LET(_xlpm.mr, MATCH(INPUTS!$C$9,$B$8:$B$19,0)+7, _xlpm.tmin, INDEX($C$8:$C$19,_xlpm.mr-7), _xlpm.tmax, INDEX($E$8:$E$19,_xlpm.mr-7), _xlpm.mean_val,(_xlpm.tmin+_xlpm.tmax)/2, _xlpm.amp,(_xlpm.tmax-_xlpm.tmin)/2, _xlpm.frac, C25, _xlpm.mean_val + _xlpm.amp*SIN((_xlpm.frac-0.25)*2*PI()))</f>
        <v>20.727902977267558</v>
      </c>
      <c r="J25" s="11" t="s">
        <v>38</v>
      </c>
      <c r="K25" s="12">
        <v>10</v>
      </c>
      <c r="L25" s="12">
        <v>16</v>
      </c>
      <c r="M25" s="12">
        <v>23</v>
      </c>
    </row>
    <row r="26" spans="2:13" x14ac:dyDescent="0.2">
      <c r="B26" s="6">
        <v>3</v>
      </c>
      <c r="C26" s="7">
        <v>0.13043478260869559</v>
      </c>
      <c r="D26" s="18" cm="1">
        <f t="array" ref="D26">_xlfn.LET(_xlpm.mr, MATCH(INPUTS!$C$9,$B$8:$B$19,0)+7, _xlpm.tmin, INDEX($C$8:$C$19,_xlpm.mr-7), _xlpm.tmax, INDEX($E$8:$E$19,_xlpm.mr-7), _xlpm.mean_val,(_xlpm.tmin+_xlpm.tmax)/2, _xlpm.amp,(_xlpm.tmax-_xlpm.tmin)/2, _xlpm.frac, C26, _xlpm.mean_val + _xlpm.amp*SIN((_xlpm.frac-0.25)*2*PI()))</f>
        <v>21.587234283906728</v>
      </c>
      <c r="J26" s="11" t="s">
        <v>39</v>
      </c>
      <c r="K26" s="12">
        <v>14</v>
      </c>
      <c r="L26" s="12">
        <v>20</v>
      </c>
      <c r="M26" s="12">
        <v>28</v>
      </c>
    </row>
    <row r="27" spans="2:13" x14ac:dyDescent="0.2">
      <c r="B27" s="6">
        <v>4</v>
      </c>
      <c r="C27" s="7">
        <v>0.17391304347826089</v>
      </c>
      <c r="D27" s="18" cm="1">
        <f t="array" ref="D27">_xlfn.LET(_xlpm.mr, MATCH(INPUTS!$C$9,$B$8:$B$19,0)+7, _xlpm.tmin, INDEX($C$8:$C$19,_xlpm.mr-7), _xlpm.tmax, INDEX($E$8:$E$19,_xlpm.mr-7), _xlpm.mean_val,(_xlpm.tmin+_xlpm.tmax)/2, _xlpm.amp,(_xlpm.tmax-_xlpm.tmin)/2, _xlpm.frac, C27, _xlpm.mean_val + _xlpm.amp*SIN((_xlpm.frac-0.25)*2*PI()))</f>
        <v>22.699674811344241</v>
      </c>
      <c r="J27" s="11" t="s">
        <v>5</v>
      </c>
      <c r="K27" s="12">
        <v>17</v>
      </c>
      <c r="L27" s="12">
        <v>24</v>
      </c>
      <c r="M27" s="12">
        <v>32</v>
      </c>
    </row>
    <row r="28" spans="2:13" x14ac:dyDescent="0.2">
      <c r="B28" s="6">
        <v>5</v>
      </c>
      <c r="C28" s="7">
        <v>0.21739130434782611</v>
      </c>
      <c r="D28" s="18" cm="1">
        <f t="array" ref="D28">_xlfn.LET(_xlpm.mr, MATCH(INPUTS!$C$9,$B$8:$B$19,0)+7, _xlpm.tmin, INDEX($C$8:$C$19,_xlpm.mr-7), _xlpm.tmax, INDEX($E$8:$E$19,_xlpm.mr-7), _xlpm.mean_val,(_xlpm.tmin+_xlpm.tmax)/2, _xlpm.amp,(_xlpm.tmax-_xlpm.tmin)/2, _xlpm.frac, C28, _xlpm.mean_val + _xlpm.amp*SIN((_xlpm.frac-0.25)*2*PI()))</f>
        <v>23.982719934736831</v>
      </c>
      <c r="J28" s="11" t="s">
        <v>40</v>
      </c>
      <c r="K28" s="12">
        <v>17</v>
      </c>
      <c r="L28" s="12">
        <v>24</v>
      </c>
      <c r="M28" s="12">
        <v>32</v>
      </c>
    </row>
    <row r="29" spans="2:13" x14ac:dyDescent="0.2">
      <c r="B29" s="6">
        <v>6</v>
      </c>
      <c r="C29" s="7">
        <v>0.2608695652173913</v>
      </c>
      <c r="D29" s="18" cm="1">
        <f t="array" ref="D29">_xlfn.LET(_xlpm.mr, MATCH(INPUTS!$C$9,$B$8:$B$19,0)+7, _xlpm.tmin, INDEX($C$8:$C$19,_xlpm.mr-7), _xlpm.tmax, INDEX($E$8:$E$19,_xlpm.mr-7), _xlpm.mean_val,(_xlpm.tmin+_xlpm.tmax)/2, _xlpm.amp,(_xlpm.tmax-_xlpm.tmin)/2, _xlpm.frac, C29, _xlpm.mean_val + _xlpm.amp*SIN((_xlpm.frac-0.25)*2*PI()))</f>
        <v>25.341212066823356</v>
      </c>
      <c r="J29" s="11" t="s">
        <v>41</v>
      </c>
      <c r="K29" s="12">
        <v>13</v>
      </c>
      <c r="L29" s="12">
        <v>20</v>
      </c>
      <c r="M29" s="12">
        <v>28</v>
      </c>
    </row>
    <row r="30" spans="2:13" x14ac:dyDescent="0.2">
      <c r="B30" s="6">
        <v>7</v>
      </c>
      <c r="C30" s="7">
        <v>0.30434782608695649</v>
      </c>
      <c r="D30" s="18" cm="1">
        <f t="array" ref="D30">_xlfn.LET(_xlpm.mr, MATCH(INPUTS!$C$9,$B$8:$B$19,0)+7, _xlpm.tmin, INDEX($C$8:$C$19,_xlpm.mr-7), _xlpm.tmax, INDEX($E$8:$E$19,_xlpm.mr-7), _xlpm.mean_val,(_xlpm.tmin+_xlpm.tmax)/2, _xlpm.amp,(_xlpm.tmax-_xlpm.tmin)/2, _xlpm.frac, C30, _xlpm.mean_val + _xlpm.amp*SIN((_xlpm.frac-0.25)*2*PI()))</f>
        <v>26.67439806085493</v>
      </c>
      <c r="J30" s="11" t="s">
        <v>42</v>
      </c>
      <c r="K30" s="12">
        <v>8</v>
      </c>
      <c r="L30" s="12">
        <v>14</v>
      </c>
      <c r="M30" s="12">
        <v>21</v>
      </c>
    </row>
    <row r="31" spans="2:13" x14ac:dyDescent="0.2">
      <c r="B31" s="6">
        <v>8</v>
      </c>
      <c r="C31" s="7">
        <v>0.34782608695652167</v>
      </c>
      <c r="D31" s="18" cm="1">
        <f t="array" ref="D31">_xlfn.LET(_xlpm.mr, MATCH(INPUTS!$C$9,$B$8:$B$19,0)+7, _xlpm.tmin, INDEX($C$8:$C$19,_xlpm.mr-7), _xlpm.tmax, INDEX($E$8:$E$19,_xlpm.mr-7), _xlpm.mean_val,(_xlpm.tmin+_xlpm.tmax)/2, _xlpm.amp,(_xlpm.tmax-_xlpm.tmin)/2, _xlpm.frac, C31, _xlpm.mean_val + _xlpm.amp*SIN((_xlpm.frac-0.25)*2*PI()))</f>
        <v>27.883401610574335</v>
      </c>
      <c r="J31" s="11" t="s">
        <v>43</v>
      </c>
      <c r="K31" s="12">
        <v>3</v>
      </c>
      <c r="L31" s="12">
        <v>8</v>
      </c>
      <c r="M31" s="12">
        <v>14</v>
      </c>
    </row>
    <row r="32" spans="2:13" x14ac:dyDescent="0.2">
      <c r="B32" s="6">
        <v>9</v>
      </c>
      <c r="C32" s="7">
        <v>0.39130434782608697</v>
      </c>
      <c r="D32" s="18" cm="1">
        <f t="array" ref="D32">_xlfn.LET(_xlpm.mr, MATCH(INPUTS!$C$9,$B$8:$B$19,0)+7, _xlpm.tmin, INDEX($C$8:$C$19,_xlpm.mr-7), _xlpm.tmax, INDEX($E$8:$E$19,_xlpm.mr-7), _xlpm.mean_val,(_xlpm.tmin+_xlpm.tmax)/2, _xlpm.amp,(_xlpm.tmax-_xlpm.tmin)/2, _xlpm.frac, C32, _xlpm.mean_val + _xlpm.amp*SIN((_xlpm.frac-0.25)*2*PI()))</f>
        <v>28.878556453522098</v>
      </c>
      <c r="J32" s="11" t="s">
        <v>44</v>
      </c>
      <c r="K32" s="12">
        <v>-1</v>
      </c>
      <c r="L32" s="12">
        <v>3</v>
      </c>
      <c r="M32" s="12">
        <v>8</v>
      </c>
    </row>
    <row r="33" spans="2:13" x14ac:dyDescent="0.2">
      <c r="B33" s="6">
        <v>10</v>
      </c>
      <c r="C33" s="7">
        <v>0.43478260869565222</v>
      </c>
      <c r="D33" s="18" cm="1">
        <f t="array" ref="D33">_xlfn.LET(_xlpm.mr, MATCH(INPUTS!$C$9,$B$8:$B$19,0)+7, _xlpm.tmin, INDEX($C$8:$C$19,_xlpm.mr-7), _xlpm.tmax, INDEX($E$8:$E$19,_xlpm.mr-7), _xlpm.mean_val,(_xlpm.tmin+_xlpm.tmax)/2, _xlpm.amp,(_xlpm.tmax-_xlpm.tmin)/2, _xlpm.frac, C33, _xlpm.mean_val + _xlpm.amp*SIN((_xlpm.frac-0.25)*2*PI()))</f>
        <v>29.586056507527267</v>
      </c>
      <c r="J33" s="9" t="s">
        <v>49</v>
      </c>
    </row>
    <row r="34" spans="2:13" x14ac:dyDescent="0.2">
      <c r="B34" s="6">
        <v>11</v>
      </c>
      <c r="C34" s="7">
        <v>0.47826086956521741</v>
      </c>
      <c r="D34" s="18" cm="1">
        <f t="array" ref="D34">_xlfn.LET(_xlpm.mr, MATCH(INPUTS!$C$9,$B$8:$B$19,0)+7, _xlpm.tmin, INDEX($C$8:$C$19,_xlpm.mr-7), _xlpm.tmax, INDEX($E$8:$E$19,_xlpm.mr-7), _xlpm.mean_val,(_xlpm.tmin+_xlpm.tmax)/2, _xlpm.amp,(_xlpm.tmax-_xlpm.tmin)/2, _xlpm.frac, C34, _xlpm.mean_val + _xlpm.amp*SIN((_xlpm.frac-0.25)*2*PI()))</f>
        <v>29.953429730181654</v>
      </c>
      <c r="J34" s="11" t="s">
        <v>33</v>
      </c>
      <c r="K34" s="12">
        <v>7</v>
      </c>
      <c r="L34" s="12">
        <v>11</v>
      </c>
      <c r="M34" s="12">
        <v>15</v>
      </c>
    </row>
    <row r="35" spans="2:13" x14ac:dyDescent="0.2">
      <c r="B35" s="6">
        <v>12</v>
      </c>
      <c r="C35" s="7">
        <v>0.52173913043478259</v>
      </c>
      <c r="D35" s="18" cm="1">
        <f t="array" ref="D35">_xlfn.LET(_xlpm.mr, MATCH(INPUTS!$C$9,$B$8:$B$19,0)+7, _xlpm.tmin, INDEX($C$8:$C$19,_xlpm.mr-7), _xlpm.tmax, INDEX($E$8:$E$19,_xlpm.mr-7), _xlpm.mean_val,(_xlpm.tmin+_xlpm.tmax)/2, _xlpm.amp,(_xlpm.tmax-_xlpm.tmin)/2, _xlpm.frac, C35, _xlpm.mean_val + _xlpm.amp*SIN((_xlpm.frac-0.25)*2*PI()))</f>
        <v>29.953429730181654</v>
      </c>
      <c r="J35" s="11" t="s">
        <v>35</v>
      </c>
      <c r="K35" s="12">
        <v>7</v>
      </c>
      <c r="L35" s="12">
        <v>12</v>
      </c>
      <c r="M35" s="12">
        <v>16</v>
      </c>
    </row>
    <row r="36" spans="2:13" x14ac:dyDescent="0.2">
      <c r="B36" s="6">
        <v>13</v>
      </c>
      <c r="C36" s="7">
        <v>0.56521739130434778</v>
      </c>
      <c r="D36" s="18" cm="1">
        <f t="array" ref="D36">_xlfn.LET(_xlpm.mr, MATCH(INPUTS!$C$9,$B$8:$B$19,0)+7, _xlpm.tmin, INDEX($C$8:$C$19,_xlpm.mr-7), _xlpm.tmax, INDEX($E$8:$E$19,_xlpm.mr-7), _xlpm.mean_val,(_xlpm.tmin+_xlpm.tmax)/2, _xlpm.amp,(_xlpm.tmax-_xlpm.tmin)/2, _xlpm.frac, C36, _xlpm.mean_val + _xlpm.amp*SIN((_xlpm.frac-0.25)*2*PI()))</f>
        <v>29.586056507527267</v>
      </c>
      <c r="J36" s="11" t="s">
        <v>36</v>
      </c>
      <c r="K36" s="12">
        <v>9</v>
      </c>
      <c r="L36" s="12">
        <v>14</v>
      </c>
      <c r="M36" s="12">
        <v>19</v>
      </c>
    </row>
    <row r="37" spans="2:13" x14ac:dyDescent="0.2">
      <c r="B37" s="6">
        <v>14</v>
      </c>
      <c r="C37" s="7">
        <v>0.60869565217391308</v>
      </c>
      <c r="D37" s="18" cm="1">
        <f t="array" ref="D37">_xlfn.LET(_xlpm.mr, MATCH(INPUTS!$C$9,$B$8:$B$19,0)+7, _xlpm.tmin, INDEX($C$8:$C$19,_xlpm.mr-7), _xlpm.tmax, INDEX($E$8:$E$19,_xlpm.mr-7), _xlpm.mean_val,(_xlpm.tmin+_xlpm.tmax)/2, _xlpm.amp,(_xlpm.tmax-_xlpm.tmin)/2, _xlpm.frac, C37, _xlpm.mean_val + _xlpm.amp*SIN((_xlpm.frac-0.25)*2*PI()))</f>
        <v>28.878556453522098</v>
      </c>
      <c r="J37" s="11" t="s">
        <v>37</v>
      </c>
      <c r="K37" s="12">
        <v>12</v>
      </c>
      <c r="L37" s="12">
        <v>17</v>
      </c>
      <c r="M37" s="12">
        <v>22</v>
      </c>
    </row>
    <row r="38" spans="2:13" x14ac:dyDescent="0.2">
      <c r="B38" s="6">
        <v>15</v>
      </c>
      <c r="C38" s="7">
        <v>0.65217391304347827</v>
      </c>
      <c r="D38" s="18" cm="1">
        <f t="array" ref="D38">_xlfn.LET(_xlpm.mr, MATCH(INPUTS!$C$9,$B$8:$B$19,0)+7, _xlpm.tmin, INDEX($C$8:$C$19,_xlpm.mr-7), _xlpm.tmax, INDEX($E$8:$E$19,_xlpm.mr-7), _xlpm.mean_val,(_xlpm.tmin+_xlpm.tmax)/2, _xlpm.amp,(_xlpm.tmax-_xlpm.tmin)/2, _xlpm.frac, C38, _xlpm.mean_val + _xlpm.amp*SIN((_xlpm.frac-0.25)*2*PI()))</f>
        <v>27.883401610574335</v>
      </c>
      <c r="J38" s="11" t="s">
        <v>38</v>
      </c>
      <c r="K38" s="12">
        <v>16</v>
      </c>
      <c r="L38" s="12">
        <v>21</v>
      </c>
      <c r="M38" s="12">
        <v>26</v>
      </c>
    </row>
    <row r="39" spans="2:13" x14ac:dyDescent="0.2">
      <c r="B39" s="6">
        <v>16</v>
      </c>
      <c r="C39" s="7">
        <v>0.69565217391304346</v>
      </c>
      <c r="D39" s="18" cm="1">
        <f t="array" ref="D39">_xlfn.LET(_xlpm.mr, MATCH(INPUTS!$C$9,$B$8:$B$19,0)+7, _xlpm.tmin, INDEX($C$8:$C$19,_xlpm.mr-7), _xlpm.tmax, INDEX($E$8:$E$19,_xlpm.mr-7), _xlpm.mean_val,(_xlpm.tmin+_xlpm.tmax)/2, _xlpm.amp,(_xlpm.tmax-_xlpm.tmin)/2, _xlpm.frac, C39, _xlpm.mean_val + _xlpm.amp*SIN((_xlpm.frac-0.25)*2*PI()))</f>
        <v>26.67439806085493</v>
      </c>
      <c r="J39" s="11" t="s">
        <v>39</v>
      </c>
      <c r="K39" s="12">
        <v>20</v>
      </c>
      <c r="L39" s="12">
        <v>25</v>
      </c>
      <c r="M39" s="12">
        <v>31</v>
      </c>
    </row>
    <row r="40" spans="2:13" x14ac:dyDescent="0.2">
      <c r="B40" s="6">
        <v>17</v>
      </c>
      <c r="C40" s="7">
        <v>0.73913043478260865</v>
      </c>
      <c r="D40" s="18" cm="1">
        <f t="array" ref="D40">_xlfn.LET(_xlpm.mr, MATCH(INPUTS!$C$9,$B$8:$B$19,0)+7, _xlpm.tmin, INDEX($C$8:$C$19,_xlpm.mr-7), _xlpm.tmax, INDEX($E$8:$E$19,_xlpm.mr-7), _xlpm.mean_val,(_xlpm.tmin+_xlpm.tmax)/2, _xlpm.amp,(_xlpm.tmax-_xlpm.tmin)/2, _xlpm.frac, C40, _xlpm.mean_val + _xlpm.amp*SIN((_xlpm.frac-0.25)*2*PI()))</f>
        <v>25.341212066823356</v>
      </c>
      <c r="J40" s="11" t="s">
        <v>5</v>
      </c>
      <c r="K40" s="12">
        <v>23</v>
      </c>
      <c r="L40" s="12">
        <v>28</v>
      </c>
      <c r="M40" s="12">
        <v>34</v>
      </c>
    </row>
    <row r="41" spans="2:13" x14ac:dyDescent="0.2">
      <c r="B41" s="6">
        <v>18</v>
      </c>
      <c r="C41" s="7">
        <v>0.78260869565217395</v>
      </c>
      <c r="D41" s="18" cm="1">
        <f t="array" ref="D41">_xlfn.LET(_xlpm.mr, MATCH(INPUTS!$C$9,$B$8:$B$19,0)+7, _xlpm.tmin, INDEX($C$8:$C$19,_xlpm.mr-7), _xlpm.tmax, INDEX($E$8:$E$19,_xlpm.mr-7), _xlpm.mean_val,(_xlpm.tmin+_xlpm.tmax)/2, _xlpm.amp,(_xlpm.tmax-_xlpm.tmin)/2, _xlpm.frac, C41, _xlpm.mean_val + _xlpm.amp*SIN((_xlpm.frac-0.25)*2*PI()))</f>
        <v>23.982719934736831</v>
      </c>
      <c r="J41" s="11" t="s">
        <v>40</v>
      </c>
      <c r="K41" s="12">
        <v>23</v>
      </c>
      <c r="L41" s="12">
        <v>28</v>
      </c>
      <c r="M41" s="12">
        <v>34</v>
      </c>
    </row>
    <row r="42" spans="2:13" x14ac:dyDescent="0.2">
      <c r="B42" s="6">
        <v>19</v>
      </c>
      <c r="C42" s="7">
        <v>0.82608695652173914</v>
      </c>
      <c r="D42" s="18" cm="1">
        <f t="array" ref="D42">_xlfn.LET(_xlpm.mr, MATCH(INPUTS!$C$9,$B$8:$B$19,0)+7, _xlpm.tmin, INDEX($C$8:$C$19,_xlpm.mr-7), _xlpm.tmax, INDEX($E$8:$E$19,_xlpm.mr-7), _xlpm.mean_val,(_xlpm.tmin+_xlpm.tmax)/2, _xlpm.amp,(_xlpm.tmax-_xlpm.tmin)/2, _xlpm.frac, C42, _xlpm.mean_val + _xlpm.amp*SIN((_xlpm.frac-0.25)*2*PI()))</f>
        <v>22.699674811344238</v>
      </c>
      <c r="J42" s="11" t="s">
        <v>41</v>
      </c>
      <c r="K42" s="12">
        <v>20</v>
      </c>
      <c r="L42" s="12">
        <v>25</v>
      </c>
      <c r="M42" s="12">
        <v>30</v>
      </c>
    </row>
    <row r="43" spans="2:13" x14ac:dyDescent="0.2">
      <c r="B43" s="6">
        <v>20</v>
      </c>
      <c r="C43" s="7">
        <v>0.86956521739130432</v>
      </c>
      <c r="D43" s="18" cm="1">
        <f t="array" ref="D43">_xlfn.LET(_xlpm.mr, MATCH(INPUTS!$C$9,$B$8:$B$19,0)+7, _xlpm.tmin, INDEX($C$8:$C$19,_xlpm.mr-7), _xlpm.tmax, INDEX($E$8:$E$19,_xlpm.mr-7), _xlpm.mean_val,(_xlpm.tmin+_xlpm.tmax)/2, _xlpm.amp,(_xlpm.tmax-_xlpm.tmin)/2, _xlpm.frac, C43, _xlpm.mean_val + _xlpm.amp*SIN((_xlpm.frac-0.25)*2*PI()))</f>
        <v>21.587234283906731</v>
      </c>
      <c r="J43" s="11" t="s">
        <v>42</v>
      </c>
      <c r="K43" s="12">
        <v>16</v>
      </c>
      <c r="L43" s="12">
        <v>21</v>
      </c>
      <c r="M43" s="12">
        <v>26</v>
      </c>
    </row>
    <row r="44" spans="2:13" x14ac:dyDescent="0.2">
      <c r="B44" s="6">
        <v>21</v>
      </c>
      <c r="C44" s="7">
        <v>0.91304347826086951</v>
      </c>
      <c r="D44" s="18" cm="1">
        <f t="array" ref="D44">_xlfn.LET(_xlpm.mr, MATCH(INPUTS!$C$9,$B$8:$B$19,0)+7, _xlpm.tmin, INDEX($C$8:$C$19,_xlpm.mr-7), _xlpm.tmax, INDEX($E$8:$E$19,_xlpm.mr-7), _xlpm.mean_val,(_xlpm.tmin+_xlpm.tmax)/2, _xlpm.amp,(_xlpm.tmax-_xlpm.tmin)/2, _xlpm.frac, C44, _xlpm.mean_val + _xlpm.amp*SIN((_xlpm.frac-0.25)*2*PI()))</f>
        <v>20.727902977267561</v>
      </c>
      <c r="J44" s="11" t="s">
        <v>43</v>
      </c>
      <c r="K44" s="12">
        <v>12</v>
      </c>
      <c r="L44" s="12">
        <v>16</v>
      </c>
      <c r="M44" s="12">
        <v>20</v>
      </c>
    </row>
    <row r="45" spans="2:13" x14ac:dyDescent="0.2">
      <c r="B45" s="6">
        <v>22</v>
      </c>
      <c r="C45" s="7">
        <v>0.95652173913043481</v>
      </c>
      <c r="D45" s="18" cm="1">
        <f t="array" ref="D45">_xlfn.LET(_xlpm.mr, MATCH(INPUTS!$C$9,$B$8:$B$19,0)+7, _xlpm.tmin, INDEX($C$8:$C$19,_xlpm.mr-7), _xlpm.tmax, INDEX($E$8:$E$19,_xlpm.mr-7), _xlpm.mean_val,(_xlpm.tmin+_xlpm.tmax)/2, _xlpm.amp,(_xlpm.tmax-_xlpm.tmin)/2, _xlpm.frac, C45, _xlpm.mean_val + _xlpm.amp*SIN((_xlpm.frac-0.25)*2*PI()))</f>
        <v>20.185413563261005</v>
      </c>
      <c r="J45" s="11" t="s">
        <v>44</v>
      </c>
      <c r="K45" s="12">
        <v>8</v>
      </c>
      <c r="L45" s="12">
        <v>12</v>
      </c>
      <c r="M45" s="12">
        <v>16</v>
      </c>
    </row>
    <row r="46" spans="2:13" x14ac:dyDescent="0.2">
      <c r="B46" s="6">
        <v>23</v>
      </c>
      <c r="C46" s="7">
        <v>1</v>
      </c>
      <c r="D46" s="18" cm="1">
        <f t="array" ref="D46">_xlfn.LET(_xlpm.mr, MATCH(INPUTS!$C$9,$B$8:$B$19,0)+7, _xlpm.tmin, INDEX($C$8:$C$19,_xlpm.mr-7), _xlpm.tmax, INDEX($E$8:$E$19,_xlpm.mr-7), _xlpm.mean_val,(_xlpm.tmin+_xlpm.tmax)/2, _xlpm.amp,(_xlpm.tmax-_xlpm.tmin)/2, _xlpm.frac, C46, _xlpm.mean_val + _xlpm.amp*SIN((_xlpm.frac-0.25)*2*PI()))</f>
        <v>20</v>
      </c>
      <c r="J46" s="9" t="s">
        <v>50</v>
      </c>
    </row>
    <row r="47" spans="2:13" x14ac:dyDescent="0.2">
      <c r="J47" s="11" t="s">
        <v>33</v>
      </c>
      <c r="K47" s="12">
        <v>1</v>
      </c>
      <c r="L47" s="12">
        <v>5</v>
      </c>
      <c r="M47" s="12">
        <v>9</v>
      </c>
    </row>
    <row r="48" spans="2:13" x14ac:dyDescent="0.2">
      <c r="J48" s="11" t="s">
        <v>35</v>
      </c>
      <c r="K48" s="12">
        <v>2</v>
      </c>
      <c r="L48" s="12">
        <v>6</v>
      </c>
      <c r="M48" s="12">
        <v>10</v>
      </c>
    </row>
    <row r="49" spans="10:13" x14ac:dyDescent="0.2">
      <c r="J49" s="11" t="s">
        <v>36</v>
      </c>
      <c r="K49" s="12">
        <v>4</v>
      </c>
      <c r="L49" s="12">
        <v>9</v>
      </c>
      <c r="M49" s="12">
        <v>14</v>
      </c>
    </row>
    <row r="50" spans="10:13" x14ac:dyDescent="0.2">
      <c r="J50" s="11" t="s">
        <v>37</v>
      </c>
      <c r="K50" s="12">
        <v>8</v>
      </c>
      <c r="L50" s="12">
        <v>13</v>
      </c>
      <c r="M50" s="12">
        <v>18</v>
      </c>
    </row>
    <row r="51" spans="10:13" x14ac:dyDescent="0.2">
      <c r="J51" s="11" t="s">
        <v>38</v>
      </c>
      <c r="K51" s="12">
        <v>12</v>
      </c>
      <c r="L51" s="12">
        <v>17</v>
      </c>
      <c r="M51" s="12">
        <v>23</v>
      </c>
    </row>
    <row r="52" spans="10:13" x14ac:dyDescent="0.2">
      <c r="J52" s="11" t="s">
        <v>39</v>
      </c>
      <c r="K52" s="12">
        <v>16</v>
      </c>
      <c r="L52" s="12">
        <v>21</v>
      </c>
      <c r="M52" s="12">
        <v>27</v>
      </c>
    </row>
    <row r="53" spans="10:13" x14ac:dyDescent="0.2">
      <c r="J53" s="11" t="s">
        <v>5</v>
      </c>
      <c r="K53" s="12">
        <v>19</v>
      </c>
      <c r="L53" s="12">
        <v>24</v>
      </c>
      <c r="M53" s="12">
        <v>31</v>
      </c>
    </row>
    <row r="54" spans="10:13" x14ac:dyDescent="0.2">
      <c r="J54" s="11" t="s">
        <v>40</v>
      </c>
      <c r="K54" s="12">
        <v>19</v>
      </c>
      <c r="L54" s="12">
        <v>24</v>
      </c>
      <c r="M54" s="12">
        <v>31</v>
      </c>
    </row>
    <row r="55" spans="10:13" x14ac:dyDescent="0.2">
      <c r="J55" s="11" t="s">
        <v>41</v>
      </c>
      <c r="K55" s="12">
        <v>16</v>
      </c>
      <c r="L55" s="12">
        <v>21</v>
      </c>
      <c r="M55" s="12">
        <v>27</v>
      </c>
    </row>
    <row r="56" spans="10:13" x14ac:dyDescent="0.2">
      <c r="J56" s="11" t="s">
        <v>42</v>
      </c>
      <c r="K56" s="12">
        <v>12</v>
      </c>
      <c r="L56" s="12">
        <v>16</v>
      </c>
      <c r="M56" s="12">
        <v>21</v>
      </c>
    </row>
    <row r="57" spans="10:13" x14ac:dyDescent="0.2">
      <c r="J57" s="11" t="s">
        <v>43</v>
      </c>
      <c r="K57" s="12">
        <v>7</v>
      </c>
      <c r="L57" s="12">
        <v>11</v>
      </c>
      <c r="M57" s="12">
        <v>15</v>
      </c>
    </row>
    <row r="58" spans="10:13" x14ac:dyDescent="0.2">
      <c r="J58" s="11" t="s">
        <v>44</v>
      </c>
      <c r="K58" s="12">
        <v>3</v>
      </c>
      <c r="L58" s="12">
        <v>7</v>
      </c>
      <c r="M58" s="12">
        <v>11</v>
      </c>
    </row>
  </sheetData>
  <mergeCells count="3">
    <mergeCell ref="B5:G5"/>
    <mergeCell ref="B21:G21"/>
    <mergeCell ref="B2:G3"/>
  </mergeCells>
  <conditionalFormatting sqref="C8:E19">
    <cfRule type="colorScale" priority="1">
      <colorScale>
        <cfvo type="min"/>
        <cfvo type="percentile" val="50"/>
        <cfvo type="max"/>
        <color rgb="FF93C5FD"/>
        <color rgb="FFFDE68A"/>
        <color rgb="FFFCA5A5"/>
      </colorScale>
    </cfRule>
  </conditionalFormatting>
  <conditionalFormatting sqref="D23:D46">
    <cfRule type="colorScale" priority="2">
      <colorScale>
        <cfvo type="min"/>
        <cfvo type="percentile" val="50"/>
        <cfvo type="max"/>
        <color rgb="FF93C5FD"/>
        <color rgb="FFFDE68A"/>
        <color rgb="FFFCA5A5"/>
      </colorScale>
    </cfRule>
  </conditionalFormatting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B7280"/>
  </sheetPr>
  <dimension ref="B2:G50"/>
  <sheetViews>
    <sheetView showGridLines="0" workbookViewId="0">
      <pane xSplit="1" ySplit="19" topLeftCell="B20" activePane="bottomRight" state="frozen"/>
      <selection pane="topRight"/>
      <selection pane="bottomLeft"/>
      <selection pane="bottomRight" activeCell="J30" sqref="J30"/>
    </sheetView>
  </sheetViews>
  <sheetFormatPr baseColWidth="10" defaultColWidth="8.83203125" defaultRowHeight="15" x14ac:dyDescent="0.2"/>
  <cols>
    <col min="1" max="1" width="3" customWidth="1"/>
    <col min="2" max="2" width="18" customWidth="1"/>
    <col min="3" max="3" width="14" customWidth="1"/>
    <col min="4" max="4" width="16" customWidth="1"/>
    <col min="5" max="5" width="12" customWidth="1"/>
    <col min="6" max="7" width="14" customWidth="1"/>
    <col min="8" max="8" width="3" customWidth="1"/>
  </cols>
  <sheetData>
    <row r="2" spans="2:7" x14ac:dyDescent="0.2">
      <c r="B2" s="91" t="s">
        <v>51</v>
      </c>
      <c r="C2" s="83"/>
      <c r="D2" s="83"/>
      <c r="E2" s="83"/>
      <c r="F2" s="83"/>
      <c r="G2" s="83"/>
    </row>
    <row r="3" spans="2:7" x14ac:dyDescent="0.2">
      <c r="B3" s="83"/>
      <c r="C3" s="83"/>
      <c r="D3" s="83"/>
      <c r="E3" s="83"/>
      <c r="F3" s="83"/>
      <c r="G3" s="83"/>
    </row>
    <row r="5" spans="2:7" ht="16" x14ac:dyDescent="0.2">
      <c r="B5" s="80" t="s">
        <v>52</v>
      </c>
      <c r="C5" s="80"/>
      <c r="D5" s="80"/>
      <c r="E5" s="80"/>
      <c r="F5" s="80"/>
      <c r="G5" s="80"/>
    </row>
    <row r="7" spans="2:7" x14ac:dyDescent="0.2">
      <c r="B7" s="13" t="s">
        <v>53</v>
      </c>
      <c r="C7" s="3">
        <v>0.01</v>
      </c>
      <c r="D7" s="4" t="s">
        <v>54</v>
      </c>
    </row>
    <row r="8" spans="2:7" x14ac:dyDescent="0.2">
      <c r="B8" s="13" t="s">
        <v>55</v>
      </c>
      <c r="C8" s="3">
        <v>6.0000000000000001E-3</v>
      </c>
      <c r="D8" s="4" t="s">
        <v>54</v>
      </c>
    </row>
    <row r="9" spans="2:7" x14ac:dyDescent="0.2">
      <c r="B9" s="13" t="s">
        <v>56</v>
      </c>
      <c r="C9" s="3">
        <v>1.4999999999999999E-2</v>
      </c>
      <c r="D9" s="4" t="s">
        <v>54</v>
      </c>
    </row>
    <row r="10" spans="2:7" x14ac:dyDescent="0.2">
      <c r="B10" s="13" t="s">
        <v>57</v>
      </c>
      <c r="C10" s="3">
        <v>2.1999999999999999E-2</v>
      </c>
      <c r="D10" s="4" t="s">
        <v>54</v>
      </c>
    </row>
    <row r="11" spans="2:7" x14ac:dyDescent="0.2">
      <c r="B11" s="13" t="s">
        <v>58</v>
      </c>
      <c r="C11" s="3">
        <v>0.02</v>
      </c>
      <c r="D11" s="4" t="s">
        <v>59</v>
      </c>
    </row>
    <row r="12" spans="2:7" x14ac:dyDescent="0.2">
      <c r="B12" s="13" t="s">
        <v>60</v>
      </c>
      <c r="C12" s="3">
        <v>1.4999999999999999E-2</v>
      </c>
      <c r="D12" s="4" t="s">
        <v>59</v>
      </c>
    </row>
    <row r="13" spans="2:7" x14ac:dyDescent="0.2">
      <c r="B13" s="13" t="s">
        <v>61</v>
      </c>
      <c r="C13" s="3">
        <v>0.94</v>
      </c>
      <c r="D13" s="4" t="s">
        <v>62</v>
      </c>
    </row>
    <row r="14" spans="2:7" x14ac:dyDescent="0.2">
      <c r="B14" s="13" t="s">
        <v>63</v>
      </c>
      <c r="C14" s="3">
        <v>3.0000000000000001E-3</v>
      </c>
      <c r="D14" s="4" t="s">
        <v>64</v>
      </c>
    </row>
    <row r="15" spans="2:7" x14ac:dyDescent="0.2">
      <c r="B15" s="13" t="s">
        <v>65</v>
      </c>
      <c r="C15" s="3">
        <v>1E-3</v>
      </c>
      <c r="D15" s="4" t="s">
        <v>66</v>
      </c>
    </row>
    <row r="17" spans="2:7" ht="16" x14ac:dyDescent="0.2">
      <c r="B17" s="80" t="s">
        <v>67</v>
      </c>
      <c r="C17" s="80"/>
      <c r="D17" s="80"/>
      <c r="E17" s="80"/>
      <c r="F17" s="80"/>
      <c r="G17" s="80"/>
    </row>
    <row r="19" spans="2:7" x14ac:dyDescent="0.2">
      <c r="B19" s="5" t="s">
        <v>46</v>
      </c>
      <c r="C19" s="5" t="s">
        <v>48</v>
      </c>
      <c r="D19" s="5" t="s">
        <v>68</v>
      </c>
      <c r="E19" s="5" t="s">
        <v>69</v>
      </c>
      <c r="F19" s="5" t="s">
        <v>70</v>
      </c>
      <c r="G19" s="5" t="s">
        <v>71</v>
      </c>
    </row>
    <row r="20" spans="2:7" x14ac:dyDescent="0.2">
      <c r="B20" s="6">
        <v>0</v>
      </c>
      <c r="C20" s="18">
        <f>WEATHER!D23</f>
        <v>20</v>
      </c>
      <c r="D20" s="18">
        <f>_xlfn.LET(_xlpm.Ta,C20,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545</v>
      </c>
      <c r="E20" s="20">
        <f>MIN(1,MAX(0,INPUTS!$C$23/D20))</f>
        <v>0.64220183486238536</v>
      </c>
      <c r="F20" s="18">
        <f>_xlfn.LET(_xlpm.Ta,C20,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_xlpm.Qavail,D20, _xlpm.Pfull,_xlpm.Qavail*_xlpm.EIR0*_xlpm.fEIR*_xlpm.fGP*_xlpm.heMul, _xlpm.PLR_val,E20, _xlpm.P_val,_xlpm.Pfull*(0.22+0.78*POWER(MAX(0.05,_xlpm.PLR_val),1.12)), _xlpm.P_val)</f>
        <v>95.450266573802026</v>
      </c>
      <c r="G20" s="18">
        <f t="shared" ref="G20:G43" si="0">F20</f>
        <v>95.450266573802026</v>
      </c>
    </row>
    <row r="21" spans="2:7" x14ac:dyDescent="0.2">
      <c r="B21" s="6">
        <v>1</v>
      </c>
      <c r="C21" s="18">
        <f>WEATHER!D24</f>
        <v>20.185413563261001</v>
      </c>
      <c r="D21" s="18">
        <f>_xlfn.LET(_xlpm.Ta,C21,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544.44375931021705</v>
      </c>
      <c r="E21" s="20">
        <f>MIN(1,MAX(0,INPUTS!$C$23/D21))</f>
        <v>0.64285795183589289</v>
      </c>
      <c r="F21" s="18">
        <f>_xlfn.LET(_xlpm.Ta,C21,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_xlpm.Qavail,D21, _xlpm.Pfull,_xlpm.Qavail*_xlpm.EIR0*_xlpm.fEIR*_xlpm.fGP*_xlpm.heMul, _xlpm.PLR_val,E21, _xlpm.P_val,_xlpm.Pfull*(0.22+0.78*POWER(MAX(0.05,_xlpm.PLR_val),1.12)), _xlpm.P_val)</f>
        <v>95.932952546134118</v>
      </c>
      <c r="G21" s="18">
        <f t="shared" si="0"/>
        <v>95.932952546134118</v>
      </c>
    </row>
    <row r="22" spans="2:7" x14ac:dyDescent="0.2">
      <c r="B22" s="6">
        <v>2</v>
      </c>
      <c r="C22" s="18">
        <f>WEATHER!D25</f>
        <v>20.727902977267558</v>
      </c>
      <c r="D22" s="18">
        <f>_xlfn.LET(_xlpm.Ta,C22,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542.8162910681973</v>
      </c>
      <c r="E22" s="20">
        <f>MIN(1,MAX(0,INPUTS!$C$23/D22))</f>
        <v>0.64478536432877132</v>
      </c>
      <c r="F22" s="18">
        <f>_xlfn.LET(_xlpm.Ta,C22,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_xlpm.Qavail,D22, _xlpm.Pfull,_xlpm.Qavail*_xlpm.EIR0*_xlpm.fEIR*_xlpm.fGP*_xlpm.heMul, _xlpm.PLR_val,E22, _xlpm.P_val,_xlpm.Pfull*(0.22+0.78*POWER(MAX(0.05,_xlpm.PLR_val),1.12)), _xlpm.P_val)</f>
        <v>97.343875565123966</v>
      </c>
      <c r="G22" s="18">
        <f t="shared" si="0"/>
        <v>97.343875565123966</v>
      </c>
    </row>
    <row r="23" spans="2:7" x14ac:dyDescent="0.2">
      <c r="B23" s="6">
        <v>3</v>
      </c>
      <c r="C23" s="18">
        <f>WEATHER!D26</f>
        <v>21.587234283906728</v>
      </c>
      <c r="D23" s="18">
        <f>_xlfn.LET(_xlpm.Ta,C23,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540.23829714827991</v>
      </c>
      <c r="E23" s="20">
        <f>MIN(1,MAX(0,INPUTS!$C$23/D23))</f>
        <v>0.64786225235700945</v>
      </c>
      <c r="F23" s="18">
        <f>_xlfn.LET(_xlpm.Ta,C23,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_xlpm.Qavail,D23, _xlpm.Pfull,_xlpm.Qavail*_xlpm.EIR0*_xlpm.fEIR*_xlpm.fGP*_xlpm.heMul, _xlpm.PLR_val,E23, _xlpm.P_val,_xlpm.Pfull*(0.22+0.78*POWER(MAX(0.05,_xlpm.PLR_val),1.12)), _xlpm.P_val)</f>
        <v>99.57478246366793</v>
      </c>
      <c r="G23" s="18">
        <f t="shared" si="0"/>
        <v>99.57478246366793</v>
      </c>
    </row>
    <row r="24" spans="2:7" x14ac:dyDescent="0.2">
      <c r="B24" s="6">
        <v>4</v>
      </c>
      <c r="C24" s="18">
        <f>WEATHER!D27</f>
        <v>22.699674811344241</v>
      </c>
      <c r="D24" s="18">
        <f>_xlfn.LET(_xlpm.Ta,C24,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536.90097556596731</v>
      </c>
      <c r="E24" s="20">
        <f>MIN(1,MAX(0,INPUTS!$C$23/D24))</f>
        <v>0.65188929789343741</v>
      </c>
      <c r="F24" s="18">
        <f>_xlfn.LET(_xlpm.Ta,C24,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_xlpm.Qavail,D24, _xlpm.Pfull,_xlpm.Qavail*_xlpm.EIR0*_xlpm.fEIR*_xlpm.fGP*_xlpm.heMul, _xlpm.PLR_val,E24, _xlpm.P_val,_xlpm.Pfull*(0.22+0.78*POWER(MAX(0.05,_xlpm.PLR_val),1.12)), _xlpm.P_val)</f>
        <v>102.45540191638847</v>
      </c>
      <c r="G24" s="18">
        <f t="shared" si="0"/>
        <v>102.45540191638847</v>
      </c>
    </row>
    <row r="25" spans="2:7" x14ac:dyDescent="0.2">
      <c r="B25" s="6">
        <v>5</v>
      </c>
      <c r="C25" s="18">
        <f>WEATHER!D28</f>
        <v>23.982719934736831</v>
      </c>
      <c r="D25" s="18">
        <f>_xlfn.LET(_xlpm.Ta,C25,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533.05184019578951</v>
      </c>
      <c r="E25" s="20">
        <f>MIN(1,MAX(0,INPUTS!$C$23/D25))</f>
        <v>0.6565965514187988</v>
      </c>
      <c r="F25" s="18">
        <f>_xlfn.LET(_xlpm.Ta,C25,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_xlpm.Qavail,D25, _xlpm.Pfull,_xlpm.Qavail*_xlpm.EIR0*_xlpm.fEIR*_xlpm.fGP*_xlpm.heMul, _xlpm.PLR_val,E25, _xlpm.P_val,_xlpm.Pfull*(0.22+0.78*POWER(MAX(0.05,_xlpm.PLR_val),1.12)), _xlpm.P_val)</f>
        <v>105.76749409191866</v>
      </c>
      <c r="G25" s="18">
        <f t="shared" si="0"/>
        <v>105.76749409191866</v>
      </c>
    </row>
    <row r="26" spans="2:7" x14ac:dyDescent="0.2">
      <c r="B26" s="6">
        <v>6</v>
      </c>
      <c r="C26" s="18">
        <f>WEATHER!D29</f>
        <v>25.341212066823356</v>
      </c>
      <c r="D26" s="18">
        <f>_xlfn.LET(_xlpm.Ta,C26,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528.97636379952996</v>
      </c>
      <c r="E26" s="20">
        <f>MIN(1,MAX(0,INPUTS!$C$23/D26))</f>
        <v>0.66165527224320753</v>
      </c>
      <c r="F26" s="18">
        <f>_xlfn.LET(_xlpm.Ta,C26,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_xlpm.Qavail,D26, _xlpm.Pfull,_xlpm.Qavail*_xlpm.EIR0*_xlpm.fEIR*_xlpm.fGP*_xlpm.heMul, _xlpm.PLR_val,E26, _xlpm.P_val,_xlpm.Pfull*(0.22+0.78*POWER(MAX(0.05,_xlpm.PLR_val),1.12)), _xlpm.P_val)</f>
        <v>109.26238188753001</v>
      </c>
      <c r="G26" s="18">
        <f t="shared" si="0"/>
        <v>109.26238188753001</v>
      </c>
    </row>
    <row r="27" spans="2:7" x14ac:dyDescent="0.2">
      <c r="B27" s="6">
        <v>7</v>
      </c>
      <c r="C27" s="18">
        <f>WEATHER!D30</f>
        <v>26.67439806085493</v>
      </c>
      <c r="D27" s="18">
        <f>_xlfn.LET(_xlpm.Ta,C27,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524.97680581743521</v>
      </c>
      <c r="E27" s="20">
        <f>MIN(1,MAX(0,INPUTS!$C$23/D27))</f>
        <v>0.66669612089817787</v>
      </c>
      <c r="F27" s="18">
        <f>_xlfn.LET(_xlpm.Ta,C27,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_xlpm.Qavail,D27, _xlpm.Pfull,_xlpm.Qavail*_xlpm.EIR0*_xlpm.fEIR*_xlpm.fGP*_xlpm.heMul, _xlpm.PLR_val,E27, _xlpm.P_val,_xlpm.Pfull*(0.22+0.78*POWER(MAX(0.05,_xlpm.PLR_val),1.12)), _xlpm.P_val)</f>
        <v>112.68026720083813</v>
      </c>
      <c r="G27" s="18">
        <f t="shared" si="0"/>
        <v>112.68026720083813</v>
      </c>
    </row>
    <row r="28" spans="2:7" x14ac:dyDescent="0.2">
      <c r="B28" s="6">
        <v>8</v>
      </c>
      <c r="C28" s="18">
        <f>WEATHER!D31</f>
        <v>27.883401610574335</v>
      </c>
      <c r="D28" s="18">
        <f>_xlfn.LET(_xlpm.Ta,C28,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521.34979516827696</v>
      </c>
      <c r="E28" s="20">
        <f>MIN(1,MAX(0,INPUTS!$C$23/D28))</f>
        <v>0.67133430039428688</v>
      </c>
      <c r="F28" s="18">
        <f>_xlfn.LET(_xlpm.Ta,C28,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_xlpm.Qavail,D28, _xlpm.Pfull,_xlpm.Qavail*_xlpm.EIR0*_xlpm.fEIR*_xlpm.fGP*_xlpm.heMul, _xlpm.PLR_val,E28, _xlpm.P_val,_xlpm.Pfull*(0.22+0.78*POWER(MAX(0.05,_xlpm.PLR_val),1.12)), _xlpm.P_val)</f>
        <v>115.76965156553537</v>
      </c>
      <c r="G28" s="18">
        <f t="shared" si="0"/>
        <v>115.76965156553537</v>
      </c>
    </row>
    <row r="29" spans="2:7" x14ac:dyDescent="0.2">
      <c r="B29" s="6">
        <v>9</v>
      </c>
      <c r="C29" s="18">
        <f>WEATHER!D32</f>
        <v>28.878556453522098</v>
      </c>
      <c r="D29" s="18">
        <f>_xlfn.LET(_xlpm.Ta,C29,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518.36433063943366</v>
      </c>
      <c r="E29" s="20">
        <f>MIN(1,MAX(0,INPUTS!$C$23/D29))</f>
        <v>0.67520077928250555</v>
      </c>
      <c r="F29" s="18">
        <f>_xlfn.LET(_xlpm.Ta,C29,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_xlpm.Qavail,D29, _xlpm.Pfull,_xlpm.Qavail*_xlpm.EIR0*_xlpm.fEIR*_xlpm.fGP*_xlpm.heMul, _xlpm.PLR_val,E29, _xlpm.P_val,_xlpm.Pfull*(0.22+0.78*POWER(MAX(0.05,_xlpm.PLR_val),1.12)), _xlpm.P_val)</f>
        <v>118.30538990598311</v>
      </c>
      <c r="G29" s="18">
        <f t="shared" si="0"/>
        <v>118.30538990598311</v>
      </c>
    </row>
    <row r="30" spans="2:7" x14ac:dyDescent="0.2">
      <c r="B30" s="6">
        <v>10</v>
      </c>
      <c r="C30" s="18">
        <f>WEATHER!D33</f>
        <v>29.586056507527267</v>
      </c>
      <c r="D30" s="18">
        <f>_xlfn.LET(_xlpm.Ta,C30,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516.24183047741826</v>
      </c>
      <c r="E30" s="20">
        <f>MIN(1,MAX(0,INPUTS!$C$23/D30))</f>
        <v>0.67797683050271518</v>
      </c>
      <c r="F30" s="18">
        <f>_xlfn.LET(_xlpm.Ta,C30,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_xlpm.Qavail,D30, _xlpm.Pfull,_xlpm.Qavail*_xlpm.EIR0*_xlpm.fEIR*_xlpm.fGP*_xlpm.heMul, _xlpm.PLR_val,E30, _xlpm.P_val,_xlpm.Pfull*(0.22+0.78*POWER(MAX(0.05,_xlpm.PLR_val),1.12)), _xlpm.P_val)</f>
        <v>120.10422533622406</v>
      </c>
      <c r="G30" s="18">
        <f t="shared" si="0"/>
        <v>120.10422533622406</v>
      </c>
    </row>
    <row r="31" spans="2:7" x14ac:dyDescent="0.2">
      <c r="B31" s="6">
        <v>11</v>
      </c>
      <c r="C31" s="18">
        <f>WEATHER!D34</f>
        <v>29.953429730181654</v>
      </c>
      <c r="D31" s="18">
        <f>_xlfn.LET(_xlpm.Ta,C31,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515.1397108094551</v>
      </c>
      <c r="E31" s="20">
        <f>MIN(1,MAX(0,INPUTS!$C$23/D31))</f>
        <v>0.67942733331513905</v>
      </c>
      <c r="F31" s="18">
        <f>_xlfn.LET(_xlpm.Ta,C31,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_xlpm.Qavail,D31, _xlpm.Pfull,_xlpm.Qavail*_xlpm.EIR0*_xlpm.fEIR*_xlpm.fGP*_xlpm.heMul, _xlpm.PLR_val,E31, _xlpm.P_val,_xlpm.Pfull*(0.22+0.78*POWER(MAX(0.05,_xlpm.PLR_val),1.12)), _xlpm.P_val)</f>
        <v>121.03699476064554</v>
      </c>
      <c r="G31" s="18">
        <f t="shared" si="0"/>
        <v>121.03699476064554</v>
      </c>
    </row>
    <row r="32" spans="2:7" x14ac:dyDescent="0.2">
      <c r="B32" s="6">
        <v>12</v>
      </c>
      <c r="C32" s="18">
        <f>WEATHER!D35</f>
        <v>29.953429730181654</v>
      </c>
      <c r="D32" s="18">
        <f>_xlfn.LET(_xlpm.Ta,C32,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515.1397108094551</v>
      </c>
      <c r="E32" s="20">
        <f>MIN(1,MAX(0,INPUTS!$C$23/D32))</f>
        <v>0.67942733331513905</v>
      </c>
      <c r="F32" s="18">
        <f>_xlfn.LET(_xlpm.Ta,C32,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_xlpm.Qavail,D32, _xlpm.Pfull,_xlpm.Qavail*_xlpm.EIR0*_xlpm.fEIR*_xlpm.fGP*_xlpm.heMul, _xlpm.PLR_val,E32, _xlpm.P_val,_xlpm.Pfull*(0.22+0.78*POWER(MAX(0.05,_xlpm.PLR_val),1.12)), _xlpm.P_val)</f>
        <v>121.03699476064554</v>
      </c>
      <c r="G32" s="18">
        <f t="shared" si="0"/>
        <v>121.03699476064554</v>
      </c>
    </row>
    <row r="33" spans="2:7" x14ac:dyDescent="0.2">
      <c r="B33" s="6">
        <v>13</v>
      </c>
      <c r="C33" s="18">
        <f>WEATHER!D36</f>
        <v>29.586056507527267</v>
      </c>
      <c r="D33" s="18">
        <f>_xlfn.LET(_xlpm.Ta,C33,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516.24183047741826</v>
      </c>
      <c r="E33" s="20">
        <f>MIN(1,MAX(0,INPUTS!$C$23/D33))</f>
        <v>0.67797683050271518</v>
      </c>
      <c r="F33" s="18">
        <f>_xlfn.LET(_xlpm.Ta,C33,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_xlpm.Qavail,D33, _xlpm.Pfull,_xlpm.Qavail*_xlpm.EIR0*_xlpm.fEIR*_xlpm.fGP*_xlpm.heMul, _xlpm.PLR_val,E33, _xlpm.P_val,_xlpm.Pfull*(0.22+0.78*POWER(MAX(0.05,_xlpm.PLR_val),1.12)), _xlpm.P_val)</f>
        <v>120.10422533622406</v>
      </c>
      <c r="G33" s="18">
        <f t="shared" si="0"/>
        <v>120.10422533622406</v>
      </c>
    </row>
    <row r="34" spans="2:7" x14ac:dyDescent="0.2">
      <c r="B34" s="6">
        <v>14</v>
      </c>
      <c r="C34" s="18">
        <f>WEATHER!D37</f>
        <v>28.878556453522098</v>
      </c>
      <c r="D34" s="18">
        <f>_xlfn.LET(_xlpm.Ta,C34,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518.36433063943366</v>
      </c>
      <c r="E34" s="20">
        <f>MIN(1,MAX(0,INPUTS!$C$23/D34))</f>
        <v>0.67520077928250555</v>
      </c>
      <c r="F34" s="18">
        <f>_xlfn.LET(_xlpm.Ta,C34,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_xlpm.Qavail,D34, _xlpm.Pfull,_xlpm.Qavail*_xlpm.EIR0*_xlpm.fEIR*_xlpm.fGP*_xlpm.heMul, _xlpm.PLR_val,E34, _xlpm.P_val,_xlpm.Pfull*(0.22+0.78*POWER(MAX(0.05,_xlpm.PLR_val),1.12)), _xlpm.P_val)</f>
        <v>118.30538990598311</v>
      </c>
      <c r="G34" s="18">
        <f t="shared" si="0"/>
        <v>118.30538990598311</v>
      </c>
    </row>
    <row r="35" spans="2:7" x14ac:dyDescent="0.2">
      <c r="B35" s="6">
        <v>15</v>
      </c>
      <c r="C35" s="18">
        <f>WEATHER!D38</f>
        <v>27.883401610574335</v>
      </c>
      <c r="D35" s="18">
        <f>_xlfn.LET(_xlpm.Ta,C35,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521.34979516827696</v>
      </c>
      <c r="E35" s="20">
        <f>MIN(1,MAX(0,INPUTS!$C$23/D35))</f>
        <v>0.67133430039428688</v>
      </c>
      <c r="F35" s="18">
        <f>_xlfn.LET(_xlpm.Ta,C35,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_xlpm.Qavail,D35, _xlpm.Pfull,_xlpm.Qavail*_xlpm.EIR0*_xlpm.fEIR*_xlpm.fGP*_xlpm.heMul, _xlpm.PLR_val,E35, _xlpm.P_val,_xlpm.Pfull*(0.22+0.78*POWER(MAX(0.05,_xlpm.PLR_val),1.12)), _xlpm.P_val)</f>
        <v>115.76965156553537</v>
      </c>
      <c r="G35" s="18">
        <f t="shared" si="0"/>
        <v>115.76965156553537</v>
      </c>
    </row>
    <row r="36" spans="2:7" x14ac:dyDescent="0.2">
      <c r="B36" s="6">
        <v>16</v>
      </c>
      <c r="C36" s="18">
        <f>WEATHER!D39</f>
        <v>26.67439806085493</v>
      </c>
      <c r="D36" s="18">
        <f>_xlfn.LET(_xlpm.Ta,C36,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524.97680581743521</v>
      </c>
      <c r="E36" s="20">
        <f>MIN(1,MAX(0,INPUTS!$C$23/D36))</f>
        <v>0.66669612089817787</v>
      </c>
      <c r="F36" s="18">
        <f>_xlfn.LET(_xlpm.Ta,C36,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_xlpm.Qavail,D36, _xlpm.Pfull,_xlpm.Qavail*_xlpm.EIR0*_xlpm.fEIR*_xlpm.fGP*_xlpm.heMul, _xlpm.PLR_val,E36, _xlpm.P_val,_xlpm.Pfull*(0.22+0.78*POWER(MAX(0.05,_xlpm.PLR_val),1.12)), _xlpm.P_val)</f>
        <v>112.68026720083813</v>
      </c>
      <c r="G36" s="18">
        <f t="shared" si="0"/>
        <v>112.68026720083813</v>
      </c>
    </row>
    <row r="37" spans="2:7" x14ac:dyDescent="0.2">
      <c r="B37" s="6">
        <v>17</v>
      </c>
      <c r="C37" s="18">
        <f>WEATHER!D40</f>
        <v>25.341212066823356</v>
      </c>
      <c r="D37" s="18">
        <f>_xlfn.LET(_xlpm.Ta,C37,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528.97636379952996</v>
      </c>
      <c r="E37" s="20">
        <f>MIN(1,MAX(0,INPUTS!$C$23/D37))</f>
        <v>0.66165527224320753</v>
      </c>
      <c r="F37" s="18">
        <f>_xlfn.LET(_xlpm.Ta,C37,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_xlpm.Qavail,D37, _xlpm.Pfull,_xlpm.Qavail*_xlpm.EIR0*_xlpm.fEIR*_xlpm.fGP*_xlpm.heMul, _xlpm.PLR_val,E37, _xlpm.P_val,_xlpm.Pfull*(0.22+0.78*POWER(MAX(0.05,_xlpm.PLR_val),1.12)), _xlpm.P_val)</f>
        <v>109.26238188753001</v>
      </c>
      <c r="G37" s="18">
        <f t="shared" si="0"/>
        <v>109.26238188753001</v>
      </c>
    </row>
    <row r="38" spans="2:7" x14ac:dyDescent="0.2">
      <c r="B38" s="6">
        <v>18</v>
      </c>
      <c r="C38" s="18">
        <f>WEATHER!D41</f>
        <v>23.982719934736831</v>
      </c>
      <c r="D38" s="18">
        <f>_xlfn.LET(_xlpm.Ta,C38,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533.05184019578951</v>
      </c>
      <c r="E38" s="20">
        <f>MIN(1,MAX(0,INPUTS!$C$23/D38))</f>
        <v>0.6565965514187988</v>
      </c>
      <c r="F38" s="18">
        <f>_xlfn.LET(_xlpm.Ta,C38,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_xlpm.Qavail,D38, _xlpm.Pfull,_xlpm.Qavail*_xlpm.EIR0*_xlpm.fEIR*_xlpm.fGP*_xlpm.heMul, _xlpm.PLR_val,E38, _xlpm.P_val,_xlpm.Pfull*(0.22+0.78*POWER(MAX(0.05,_xlpm.PLR_val),1.12)), _xlpm.P_val)</f>
        <v>105.76749409191866</v>
      </c>
      <c r="G38" s="18">
        <f t="shared" si="0"/>
        <v>105.76749409191866</v>
      </c>
    </row>
    <row r="39" spans="2:7" x14ac:dyDescent="0.2">
      <c r="B39" s="6">
        <v>19</v>
      </c>
      <c r="C39" s="18">
        <f>WEATHER!D42</f>
        <v>22.699674811344238</v>
      </c>
      <c r="D39" s="18">
        <f>_xlfn.LET(_xlpm.Ta,C39,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536.90097556596731</v>
      </c>
      <c r="E39" s="20">
        <f>MIN(1,MAX(0,INPUTS!$C$23/D39))</f>
        <v>0.65188929789343741</v>
      </c>
      <c r="F39" s="18">
        <f>_xlfn.LET(_xlpm.Ta,C39,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_xlpm.Qavail,D39, _xlpm.Pfull,_xlpm.Qavail*_xlpm.EIR0*_xlpm.fEIR*_xlpm.fGP*_xlpm.heMul, _xlpm.PLR_val,E39, _xlpm.P_val,_xlpm.Pfull*(0.22+0.78*POWER(MAX(0.05,_xlpm.PLR_val),1.12)), _xlpm.P_val)</f>
        <v>102.45540191638845</v>
      </c>
      <c r="G39" s="18">
        <f t="shared" si="0"/>
        <v>102.45540191638845</v>
      </c>
    </row>
    <row r="40" spans="2:7" x14ac:dyDescent="0.2">
      <c r="B40" s="6">
        <v>20</v>
      </c>
      <c r="C40" s="18">
        <f>WEATHER!D43</f>
        <v>21.587234283906731</v>
      </c>
      <c r="D40" s="18">
        <f>_xlfn.LET(_xlpm.Ta,C40,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540.2382971482798</v>
      </c>
      <c r="E40" s="20">
        <f>MIN(1,MAX(0,INPUTS!$C$23/D40))</f>
        <v>0.64786225235700967</v>
      </c>
      <c r="F40" s="18">
        <f>_xlfn.LET(_xlpm.Ta,C40,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_xlpm.Qavail,D40, _xlpm.Pfull,_xlpm.Qavail*_xlpm.EIR0*_xlpm.fEIR*_xlpm.fGP*_xlpm.heMul, _xlpm.PLR_val,E40, _xlpm.P_val,_xlpm.Pfull*(0.22+0.78*POWER(MAX(0.05,_xlpm.PLR_val),1.12)), _xlpm.P_val)</f>
        <v>99.574782463667958</v>
      </c>
      <c r="G40" s="18">
        <f t="shared" si="0"/>
        <v>99.574782463667958</v>
      </c>
    </row>
    <row r="41" spans="2:7" x14ac:dyDescent="0.2">
      <c r="B41" s="6">
        <v>21</v>
      </c>
      <c r="C41" s="18">
        <f>WEATHER!D44</f>
        <v>20.727902977267561</v>
      </c>
      <c r="D41" s="18">
        <f>_xlfn.LET(_xlpm.Ta,C41,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542.8162910681973</v>
      </c>
      <c r="E41" s="20">
        <f>MIN(1,MAX(0,INPUTS!$C$23/D41))</f>
        <v>0.64478536432877132</v>
      </c>
      <c r="F41" s="18">
        <f>_xlfn.LET(_xlpm.Ta,C41,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_xlpm.Qavail,D41, _xlpm.Pfull,_xlpm.Qavail*_xlpm.EIR0*_xlpm.fEIR*_xlpm.fGP*_xlpm.heMul, _xlpm.PLR_val,E41, _xlpm.P_val,_xlpm.Pfull*(0.22+0.78*POWER(MAX(0.05,_xlpm.PLR_val),1.12)), _xlpm.P_val)</f>
        <v>97.34387556512398</v>
      </c>
      <c r="G41" s="18">
        <f t="shared" si="0"/>
        <v>97.34387556512398</v>
      </c>
    </row>
    <row r="42" spans="2:7" x14ac:dyDescent="0.2">
      <c r="B42" s="6">
        <v>22</v>
      </c>
      <c r="C42" s="18">
        <f>WEATHER!D45</f>
        <v>20.185413563261005</v>
      </c>
      <c r="D42" s="18">
        <f>_xlfn.LET(_xlpm.Ta,C42,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544.44375931021693</v>
      </c>
      <c r="E42" s="20">
        <f>MIN(1,MAX(0,INPUTS!$C$23/D42))</f>
        <v>0.64285795183589312</v>
      </c>
      <c r="F42" s="18">
        <f>_xlfn.LET(_xlpm.Ta,C42,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_xlpm.Qavail,D42, _xlpm.Pfull,_xlpm.Qavail*_xlpm.EIR0*_xlpm.fEIR*_xlpm.fGP*_xlpm.heMul, _xlpm.PLR_val,E42, _xlpm.P_val,_xlpm.Pfull*(0.22+0.78*POWER(MAX(0.05,_xlpm.PLR_val),1.12)), _xlpm.P_val)</f>
        <v>95.932952546134103</v>
      </c>
      <c r="G42" s="18">
        <f t="shared" si="0"/>
        <v>95.932952546134103</v>
      </c>
    </row>
    <row r="43" spans="2:7" x14ac:dyDescent="0.2">
      <c r="B43" s="6">
        <v>23</v>
      </c>
      <c r="C43" s="18">
        <f>WEATHER!D46</f>
        <v>20</v>
      </c>
      <c r="D43" s="18">
        <f>_xlfn.LET(_xlpm.Ta,C43, _xlpm.LWT,INPUTS!$C$21, _xlpm.TaRef,35, _xlpm.LRef,7, _xlpm.Qr,INPUTS!$C$17, _xlpm.gly,INPUTS!$C$20, _xlpm.kTaP,$C$7, _xlpm.kTaN,$C$8, _xlpm.kLP,$C$9, _xlpm.kLN,$C$10, _xlpm.fTa,IF(_xlpm.Ta&gt;=_xlpm.TaRef, 1-_xlpm.kTaP*(_xlpm.Ta-_xlpm.TaRef), 1+_xlpm.kTaN*(_xlpm.TaRef-_xlpm.Ta)), _xlpm.fL,IF(_xlpm.LWT&gt;=_xlpm.LRef, 1+_xlpm.kLP*(_xlpm.LWT-_xlpm.LRef), 1+_xlpm.kLN*(_xlpm.LWT-_xlpm.LRef)), _xlpm.fG,MAX(0.85, 1-$C$14*_xlpm.gly), _xlpm.Qr*MAX(0.6, MIN(1.22, _xlpm.fTa*_xlpm.fL))*_xlpm.fG)</f>
        <v>545</v>
      </c>
      <c r="E43" s="20">
        <f>MIN(1,MAX(0,INPUTS!$C$23/D43))</f>
        <v>0.64220183486238536</v>
      </c>
      <c r="F43" s="18">
        <f>_xlfn.LET(_xlpm.Ta,C43, _xlpm.LWT,INPUTS!$C$21, _xlpm.TaRef,35, _xlpm.LRef,7, _xlpm.Pr,INPUTS!$C$18, _xlpm.Qr,INPUTS!$C$17, _xlpm.EIR0,_xlpm.Pr/_xlpm.Qr, _xlpm.gly,INPUTS!$C$20, _xlpm.opt,INPUTS!$C$19, _xlpm.kEIRTa,$C$11, _xlpm.kEIRL,$C$12, _xlpm.fEIR,MAX(0.7, MIN(1.55, 1+_xlpm.kEIRTa*(_xlpm.Ta-_xlpm.TaRef)-_xlpm.kEIRL*(_xlpm.LWT-_xlpm.LRef))), _xlpm.fGP,MIN(1.08, 1+$C$15*_xlpm.gly), _xlpm.heMul,IF(_xlpm.opt="HE",$C$13,1), _xlpm.Qavail,D43, _xlpm.Pfull,_xlpm.Qavail*_xlpm.EIR0*_xlpm.fEIR*_xlpm.fGP*_xlpm.heMul, _xlpm.PLR_val,E43, _xlpm.P_val,_xlpm.Pfull*(0.22+0.78*POWER(MAX(0.05,_xlpm.PLR_val),1.12)), _xlpm.P_val)</f>
        <v>95.450266573802026</v>
      </c>
      <c r="G43" s="18">
        <f t="shared" si="0"/>
        <v>95.450266573802026</v>
      </c>
    </row>
    <row r="46" spans="2:7" ht="16" x14ac:dyDescent="0.2">
      <c r="B46" s="2" t="s">
        <v>72</v>
      </c>
      <c r="C46" s="19">
        <f>SUM(G20:G43)</f>
        <v>2587.3673676275821</v>
      </c>
      <c r="D46" s="4" t="s">
        <v>73</v>
      </c>
    </row>
    <row r="47" spans="2:7" ht="16" x14ac:dyDescent="0.2">
      <c r="B47" s="2" t="s">
        <v>74</v>
      </c>
      <c r="C47" s="16">
        <f>C46*INPUTS!C12*(INPUTS!C11/24)</f>
        <v>28461.041043903402</v>
      </c>
      <c r="D47" s="4" t="s">
        <v>75</v>
      </c>
    </row>
    <row r="48" spans="2:7" ht="16" x14ac:dyDescent="0.2">
      <c r="B48" s="2" t="s">
        <v>76</v>
      </c>
      <c r="C48" s="17">
        <f>C47*INPUTS!C10</f>
        <v>99613.643653661915</v>
      </c>
      <c r="D48" s="4" t="s">
        <v>77</v>
      </c>
    </row>
    <row r="49" spans="2:4" ht="16" x14ac:dyDescent="0.2">
      <c r="B49" s="2" t="s">
        <v>78</v>
      </c>
      <c r="C49" s="16">
        <f>C47*INPUTS!C13</f>
        <v>170766.24626342041</v>
      </c>
      <c r="D49" s="4" t="s">
        <v>79</v>
      </c>
    </row>
    <row r="50" spans="2:4" ht="16" x14ac:dyDescent="0.2">
      <c r="B50" s="2" t="s">
        <v>80</v>
      </c>
      <c r="C50" s="17">
        <f>C49*INPUTS!C10</f>
        <v>597681.86192197143</v>
      </c>
      <c r="D50" s="4" t="s">
        <v>81</v>
      </c>
    </row>
  </sheetData>
  <mergeCells count="3">
    <mergeCell ref="B5:G5"/>
    <mergeCell ref="B2:G3"/>
    <mergeCell ref="B17:G17"/>
  </mergeCells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59669"/>
  </sheetPr>
  <dimension ref="B2:F43"/>
  <sheetViews>
    <sheetView showGridLines="0" workbookViewId="0">
      <pane xSplit="1" ySplit="5" topLeftCell="B6" activePane="bottomRight" state="frozen"/>
      <selection pane="topRight"/>
      <selection pane="bottomLeft"/>
      <selection pane="bottomRight" activeCell="F11" sqref="F11"/>
    </sheetView>
  </sheetViews>
  <sheetFormatPr baseColWidth="10" defaultColWidth="8.83203125" defaultRowHeight="15" x14ac:dyDescent="0.2"/>
  <cols>
    <col min="1" max="1" width="3.33203125" customWidth="1"/>
    <col min="2" max="2" width="30" customWidth="1"/>
    <col min="3" max="6" width="22" customWidth="1"/>
    <col min="7" max="7" width="3" customWidth="1"/>
  </cols>
  <sheetData>
    <row r="2" spans="2:6" x14ac:dyDescent="0.2">
      <c r="B2" s="86" t="s">
        <v>121</v>
      </c>
      <c r="C2" s="83"/>
      <c r="D2" s="83"/>
      <c r="E2" s="83"/>
      <c r="F2" s="83"/>
    </row>
    <row r="3" spans="2:6" x14ac:dyDescent="0.2">
      <c r="B3" s="83"/>
      <c r="C3" s="83"/>
      <c r="D3" s="83"/>
      <c r="E3" s="83"/>
      <c r="F3" s="83"/>
    </row>
    <row r="4" spans="2:6" ht="16" x14ac:dyDescent="0.2">
      <c r="B4" s="22" t="s">
        <v>122</v>
      </c>
    </row>
    <row r="6" spans="2:6" x14ac:dyDescent="0.2">
      <c r="B6" s="23" t="s">
        <v>123</v>
      </c>
      <c r="C6" s="14"/>
      <c r="D6" s="24" t="s">
        <v>124</v>
      </c>
      <c r="E6" s="14"/>
    </row>
    <row r="7" spans="2:6" ht="35" customHeight="1" x14ac:dyDescent="0.35">
      <c r="B7" s="25">
        <f>CALC!C47</f>
        <v>28461.041043903402</v>
      </c>
      <c r="C7" s="14"/>
      <c r="D7" s="27">
        <f>CALC!C48</f>
        <v>99613.643653661915</v>
      </c>
      <c r="E7" s="14"/>
    </row>
    <row r="8" spans="2:6" x14ac:dyDescent="0.2">
      <c r="B8" s="26" t="s">
        <v>75</v>
      </c>
      <c r="C8" s="14"/>
      <c r="D8" s="28" t="s">
        <v>77</v>
      </c>
      <c r="E8" s="14"/>
    </row>
    <row r="10" spans="2:6" x14ac:dyDescent="0.2">
      <c r="B10" s="23" t="s">
        <v>125</v>
      </c>
      <c r="C10" s="14"/>
      <c r="D10" s="24" t="s">
        <v>126</v>
      </c>
      <c r="E10" s="14"/>
    </row>
    <row r="11" spans="2:6" ht="35" customHeight="1" x14ac:dyDescent="0.35">
      <c r="B11" s="25">
        <f>CALC!C49</f>
        <v>170766.24626342041</v>
      </c>
      <c r="C11" s="14"/>
      <c r="D11" s="27">
        <f>CALC!C50</f>
        <v>597681.86192197143</v>
      </c>
      <c r="E11" s="14"/>
    </row>
    <row r="12" spans="2:6" x14ac:dyDescent="0.2">
      <c r="B12" s="26" t="s">
        <v>79</v>
      </c>
      <c r="C12" s="14"/>
      <c r="D12" s="28" t="s">
        <v>81</v>
      </c>
      <c r="E12" s="14"/>
    </row>
    <row r="14" spans="2:6" ht="16" x14ac:dyDescent="0.2">
      <c r="B14" s="90" t="s">
        <v>127</v>
      </c>
      <c r="C14" s="80"/>
      <c r="D14" s="80"/>
      <c r="E14" s="80"/>
      <c r="F14" s="80"/>
    </row>
    <row r="16" spans="2:6" x14ac:dyDescent="0.2">
      <c r="B16" s="5" t="s">
        <v>46</v>
      </c>
      <c r="C16" s="5" t="s">
        <v>82</v>
      </c>
      <c r="D16" s="5" t="s">
        <v>83</v>
      </c>
      <c r="E16" s="5" t="s">
        <v>84</v>
      </c>
      <c r="F16" s="5" t="s">
        <v>85</v>
      </c>
    </row>
    <row r="17" spans="2:6" x14ac:dyDescent="0.2">
      <c r="B17" s="6">
        <v>0</v>
      </c>
      <c r="C17" s="18">
        <f>WEATHER!D23</f>
        <v>20</v>
      </c>
      <c r="D17" s="18">
        <f>CALC!F20</f>
        <v>95.450266573802026</v>
      </c>
      <c r="E17" s="18">
        <f>_xlfn.LET(_xlpm.Ta,C17,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95.787040759640618</v>
      </c>
      <c r="F17" s="18">
        <f>_xlfn.LET(_xlpm.Ta,C17-1,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95.573627573887379</v>
      </c>
    </row>
    <row r="18" spans="2:6" x14ac:dyDescent="0.2">
      <c r="B18" s="6">
        <v>1</v>
      </c>
      <c r="C18" s="18">
        <f>WEATHER!D24</f>
        <v>20.185413563261001</v>
      </c>
      <c r="D18" s="18">
        <f>CALC!F21</f>
        <v>95.932952546134118</v>
      </c>
      <c r="E18" s="18">
        <f>_xlfn.LET(_xlpm.Ta,C18,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95.763720220453735</v>
      </c>
      <c r="F18" s="18">
        <f>_xlfn.LET(_xlpm.Ta,C18-1,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95.550734849756395</v>
      </c>
    </row>
    <row r="19" spans="2:6" x14ac:dyDescent="0.2">
      <c r="B19" s="6">
        <v>2</v>
      </c>
      <c r="C19" s="18">
        <f>WEATHER!D25</f>
        <v>20.727902977267558</v>
      </c>
      <c r="D19" s="18">
        <f>CALC!F22</f>
        <v>97.343875565123966</v>
      </c>
      <c r="E19" s="18">
        <f>_xlfn.LET(_xlpm.Ta,C19,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95.695540726236004</v>
      </c>
      <c r="F19" s="18">
        <f>_xlfn.LET(_xlpm.Ta,C19-1,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95.483806555515201</v>
      </c>
    </row>
    <row r="20" spans="2:6" x14ac:dyDescent="0.2">
      <c r="B20" s="6">
        <v>3</v>
      </c>
      <c r="C20" s="18">
        <f>WEATHER!D26</f>
        <v>21.587234283906728</v>
      </c>
      <c r="D20" s="18">
        <f>CALC!F23</f>
        <v>99.57478246366793</v>
      </c>
      <c r="E20" s="18">
        <f>_xlfn.LET(_xlpm.Ta,C20,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97.874253640664946</v>
      </c>
      <c r="F20" s="18">
        <f>_xlfn.LET(_xlpm.Ta,C20-1,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96.978211269705056</v>
      </c>
    </row>
    <row r="21" spans="2:6" x14ac:dyDescent="0.2">
      <c r="B21" s="6">
        <v>4</v>
      </c>
      <c r="C21" s="18">
        <f>WEATHER!D27</f>
        <v>22.699674811344241</v>
      </c>
      <c r="D21" s="18">
        <f>CALC!F24</f>
        <v>102.45540191638847</v>
      </c>
      <c r="E21" s="18">
        <f>_xlfn.LET(_xlpm.Ta,C21,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100.76534968685621</v>
      </c>
      <c r="F21" s="18">
        <f>_xlfn.LET(_xlpm.Ta,C21-1,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99.866320629026234</v>
      </c>
    </row>
    <row r="22" spans="2:6" x14ac:dyDescent="0.2">
      <c r="B22" s="6">
        <v>5</v>
      </c>
      <c r="C22" s="18">
        <f>WEATHER!D28</f>
        <v>23.982719934736831</v>
      </c>
      <c r="D22" s="18">
        <f>CALC!F25</f>
        <v>105.76749409191866</v>
      </c>
      <c r="E22" s="18">
        <f>_xlfn.LET(_xlpm.Ta,C22,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104.08928936842875</v>
      </c>
      <c r="F22" s="18">
        <f>_xlfn.LET(_xlpm.Ta,C22-1,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103.18701015911039</v>
      </c>
    </row>
    <row r="23" spans="2:6" x14ac:dyDescent="0.2">
      <c r="B23" s="6">
        <v>6</v>
      </c>
      <c r="C23" s="18">
        <f>WEATHER!D29</f>
        <v>25.341212066823356</v>
      </c>
      <c r="D23" s="18">
        <f>CALC!F26</f>
        <v>109.26238188753001</v>
      </c>
      <c r="E23" s="18">
        <f>_xlfn.LET(_xlpm.Ta,C23,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107.59644578047175</v>
      </c>
      <c r="F23" s="18">
        <f>_xlfn.LET(_xlpm.Ta,C23-1,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106.6909517714211</v>
      </c>
    </row>
    <row r="24" spans="2:6" x14ac:dyDescent="0.2">
      <c r="B24" s="6">
        <v>7</v>
      </c>
      <c r="C24" s="18">
        <f>WEATHER!D30</f>
        <v>26.67439806085493</v>
      </c>
      <c r="D24" s="18">
        <f>CALC!F27</f>
        <v>112.68026720083813</v>
      </c>
      <c r="E24" s="18">
        <f>_xlfn.LET(_xlpm.Ta,C24,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111.02609532028863</v>
      </c>
      <c r="F24" s="18">
        <f>_xlfn.LET(_xlpm.Ta,C24-1,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110.11767209542738</v>
      </c>
    </row>
    <row r="25" spans="2:6" x14ac:dyDescent="0.2">
      <c r="B25" s="6">
        <v>8</v>
      </c>
      <c r="C25" s="18">
        <f>WEATHER!D31</f>
        <v>27.883401610574335</v>
      </c>
      <c r="D25" s="18">
        <f>CALC!F28</f>
        <v>115.76965156553537</v>
      </c>
      <c r="E25" s="18">
        <f>_xlfn.LET(_xlpm.Ta,C25,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114.12591159757541</v>
      </c>
      <c r="F25" s="18">
        <f>_xlfn.LET(_xlpm.Ta,C25-1,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113.21502464310213</v>
      </c>
    </row>
    <row r="26" spans="2:6" x14ac:dyDescent="0.2">
      <c r="B26" s="6">
        <v>9</v>
      </c>
      <c r="C26" s="18">
        <f>WEATHER!D32</f>
        <v>28.878556453522098</v>
      </c>
      <c r="D26" s="18">
        <f>CALC!F29</f>
        <v>118.30538990598311</v>
      </c>
      <c r="E26" s="18">
        <f>_xlfn.LET(_xlpm.Ta,C26,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116.67006769788834</v>
      </c>
      <c r="F26" s="18">
        <f>_xlfn.LET(_xlpm.Ta,C26-1,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115.75728983224165</v>
      </c>
    </row>
    <row r="27" spans="2:6" x14ac:dyDescent="0.2">
      <c r="B27" s="6">
        <v>10</v>
      </c>
      <c r="C27" s="18">
        <f>WEATHER!D33</f>
        <v>29.586056507527267</v>
      </c>
      <c r="D27" s="18">
        <f>CALC!F30</f>
        <v>120.10422533622406</v>
      </c>
      <c r="E27" s="18">
        <f>_xlfn.LET(_xlpm.Ta,C27,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118.47479482658824</v>
      </c>
      <c r="F27" s="18">
        <f>_xlfn.LET(_xlpm.Ta,C27-1,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117.56074767746239</v>
      </c>
    </row>
    <row r="28" spans="2:6" x14ac:dyDescent="0.2">
      <c r="B28" s="6">
        <v>11</v>
      </c>
      <c r="C28" s="18">
        <f>WEATHER!D34</f>
        <v>29.953429730181654</v>
      </c>
      <c r="D28" s="18">
        <f>CALC!F31</f>
        <v>121.03699476064554</v>
      </c>
      <c r="E28" s="18">
        <f>_xlfn.LET(_xlpm.Ta,C28,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119.41059308859361</v>
      </c>
      <c r="F28" s="18">
        <f>_xlfn.LET(_xlpm.Ta,C28-1,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118.49591140937312</v>
      </c>
    </row>
    <row r="29" spans="2:6" x14ac:dyDescent="0.2">
      <c r="B29" s="6">
        <v>12</v>
      </c>
      <c r="C29" s="18">
        <f>WEATHER!D35</f>
        <v>29.953429730181654</v>
      </c>
      <c r="D29" s="18">
        <f>CALC!F32</f>
        <v>121.03699476064554</v>
      </c>
      <c r="E29" s="18">
        <f>_xlfn.LET(_xlpm.Ta,C29,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119.41059308859361</v>
      </c>
      <c r="F29" s="18">
        <f>_xlfn.LET(_xlpm.Ta,C29-1,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118.49591140937312</v>
      </c>
    </row>
    <row r="30" spans="2:6" x14ac:dyDescent="0.2">
      <c r="B30" s="6">
        <v>13</v>
      </c>
      <c r="C30" s="18">
        <f>WEATHER!D36</f>
        <v>29.586056507527267</v>
      </c>
      <c r="D30" s="18">
        <f>CALC!F33</f>
        <v>120.10422533622406</v>
      </c>
      <c r="E30" s="18">
        <f>_xlfn.LET(_xlpm.Ta,C30,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118.47479482658824</v>
      </c>
      <c r="F30" s="18">
        <f>_xlfn.LET(_xlpm.Ta,C30-1,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117.56074767746239</v>
      </c>
    </row>
    <row r="31" spans="2:6" x14ac:dyDescent="0.2">
      <c r="B31" s="6">
        <v>14</v>
      </c>
      <c r="C31" s="18">
        <f>WEATHER!D37</f>
        <v>28.878556453522098</v>
      </c>
      <c r="D31" s="18">
        <f>CALC!F34</f>
        <v>118.30538990598311</v>
      </c>
      <c r="E31" s="18">
        <f>_xlfn.LET(_xlpm.Ta,C31,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116.67006769788834</v>
      </c>
      <c r="F31" s="18">
        <f>_xlfn.LET(_xlpm.Ta,C31-1,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115.75728983224165</v>
      </c>
    </row>
    <row r="32" spans="2:6" x14ac:dyDescent="0.2">
      <c r="B32" s="6">
        <v>15</v>
      </c>
      <c r="C32" s="18">
        <f>WEATHER!D38</f>
        <v>27.883401610574335</v>
      </c>
      <c r="D32" s="18">
        <f>CALC!F35</f>
        <v>115.76965156553537</v>
      </c>
      <c r="E32" s="18">
        <f>_xlfn.LET(_xlpm.Ta,C32,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114.12591159757541</v>
      </c>
      <c r="F32" s="18">
        <f>_xlfn.LET(_xlpm.Ta,C32-1,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113.21502464310213</v>
      </c>
    </row>
    <row r="33" spans="2:6" x14ac:dyDescent="0.2">
      <c r="B33" s="6">
        <v>16</v>
      </c>
      <c r="C33" s="18">
        <f>WEATHER!D39</f>
        <v>26.67439806085493</v>
      </c>
      <c r="D33" s="18">
        <f>CALC!F36</f>
        <v>112.68026720083813</v>
      </c>
      <c r="E33" s="18">
        <f>_xlfn.LET(_xlpm.Ta,C33,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111.02609532028863</v>
      </c>
      <c r="F33" s="18">
        <f>_xlfn.LET(_xlpm.Ta,C33-1,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110.11767209542738</v>
      </c>
    </row>
    <row r="34" spans="2:6" x14ac:dyDescent="0.2">
      <c r="B34" s="6">
        <v>17</v>
      </c>
      <c r="C34" s="18">
        <f>WEATHER!D40</f>
        <v>25.341212066823356</v>
      </c>
      <c r="D34" s="18">
        <f>CALC!F37</f>
        <v>109.26238188753001</v>
      </c>
      <c r="E34" s="18">
        <f>_xlfn.LET(_xlpm.Ta,C34,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107.59644578047175</v>
      </c>
      <c r="F34" s="18">
        <f>_xlfn.LET(_xlpm.Ta,C34-1,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106.6909517714211</v>
      </c>
    </row>
    <row r="35" spans="2:6" x14ac:dyDescent="0.2">
      <c r="B35" s="6">
        <v>18</v>
      </c>
      <c r="C35" s="18">
        <f>WEATHER!D41</f>
        <v>23.982719934736831</v>
      </c>
      <c r="D35" s="18">
        <f>CALC!F38</f>
        <v>105.76749409191866</v>
      </c>
      <c r="E35" s="18">
        <f>_xlfn.LET(_xlpm.Ta,C35,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104.08928936842875</v>
      </c>
      <c r="F35" s="18">
        <f>_xlfn.LET(_xlpm.Ta,C35-1,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103.18701015911039</v>
      </c>
    </row>
    <row r="36" spans="2:6" x14ac:dyDescent="0.2">
      <c r="B36" s="6">
        <v>19</v>
      </c>
      <c r="C36" s="18">
        <f>WEATHER!D42</f>
        <v>22.699674811344238</v>
      </c>
      <c r="D36" s="18">
        <f>CALC!F39</f>
        <v>102.45540191638845</v>
      </c>
      <c r="E36" s="18">
        <f>_xlfn.LET(_xlpm.Ta,C36,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100.76534968685621</v>
      </c>
      <c r="F36" s="18">
        <f>_xlfn.LET(_xlpm.Ta,C36-1,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99.866320629026234</v>
      </c>
    </row>
    <row r="37" spans="2:6" x14ac:dyDescent="0.2">
      <c r="B37" s="6">
        <v>20</v>
      </c>
      <c r="C37" s="18">
        <f>WEATHER!D43</f>
        <v>21.587234283906731</v>
      </c>
      <c r="D37" s="18">
        <f>CALC!F40</f>
        <v>99.574782463667958</v>
      </c>
      <c r="E37" s="18">
        <f>_xlfn.LET(_xlpm.Ta,C37,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97.874253640664961</v>
      </c>
      <c r="F37" s="18">
        <f>_xlfn.LET(_xlpm.Ta,C37-1,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96.978211269705056</v>
      </c>
    </row>
    <row r="38" spans="2:6" x14ac:dyDescent="0.2">
      <c r="B38" s="6">
        <v>21</v>
      </c>
      <c r="C38" s="18">
        <f>WEATHER!D44</f>
        <v>20.727902977267561</v>
      </c>
      <c r="D38" s="18">
        <f>CALC!F41</f>
        <v>97.34387556512398</v>
      </c>
      <c r="E38" s="18">
        <f>_xlfn.LET(_xlpm.Ta,C38,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95.695540726236004</v>
      </c>
      <c r="F38" s="18">
        <f>_xlfn.LET(_xlpm.Ta,C38-1,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95.483806555515201</v>
      </c>
    </row>
    <row r="39" spans="2:6" x14ac:dyDescent="0.2">
      <c r="B39" s="6">
        <v>22</v>
      </c>
      <c r="C39" s="18">
        <f>WEATHER!D45</f>
        <v>20.185413563261005</v>
      </c>
      <c r="D39" s="18">
        <f>CALC!F42</f>
        <v>95.932952546134103</v>
      </c>
      <c r="E39" s="18">
        <f>_xlfn.LET(_xlpm.Ta,C39,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95.76372022045372</v>
      </c>
      <c r="F39" s="18">
        <f>_xlfn.LET(_xlpm.Ta,C39-1,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95.550734849756381</v>
      </c>
    </row>
    <row r="40" spans="2:6" x14ac:dyDescent="0.2">
      <c r="B40" s="6">
        <v>23</v>
      </c>
      <c r="C40" s="18">
        <f>WEATHER!D46</f>
        <v>20</v>
      </c>
      <c r="D40" s="18">
        <f>CALC!F43</f>
        <v>95.450266573802026</v>
      </c>
      <c r="E40" s="18">
        <f>_xlfn.LET(_xlpm.Ta,C40, _xlpm.LWT,INPUTS!$C$21+1,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95.787040759640618</v>
      </c>
      <c r="F40" s="18">
        <f>_xlfn.LET(_xlpm.Ta,C40-1, _xlpm.LWT,INPUTS!$C$21, _xlpm.TaRef,35, _xlpm.LRef,7, _xlpm.Pr,INPUTS!$C$18, _xlpm.Qr,INPUTS!$C$17, _xlpm.EIR0,_xlpm.Pr/_xlpm.Qr, _xlpm.gly,INPUTS!$C$20, _xlpm.opt,INPUTS!$C$19, _xlpm.kTaP,CALC!$C$7, _xlpm.kTaN,CALC!$C$8, _xlpm.kLP,CALC!$C$9, _xlpm.kLN,CALC!$C$10, _xlpm.kEIRTa,CALC!$C$11, _xlpm.kEIRL,CALC!$C$12, _xlpm.fTa,IF(_xlpm.Ta&gt;=_xlpm.TaRef, 1-_xlpm.kTaP*(_xlpm.Ta-_xlpm.TaRef), 1+_xlpm.kTaN*(_xlpm.TaRef-_xlpm.Ta)), _xlpm.fL,IF(_xlpm.LWT&gt;=_xlpm.LRef, 1+_xlpm.kLP*(_xlpm.LWT-_xlpm.LRef), 1+_xlpm.kLN*(_xlpm.LWT-_xlpm.LRef)), _xlpm.fGQ,MAX(0.85, 1-CALC!$C$14*_xlpm.gly), _xlpm.Qavail,_xlpm.Qr*MAX(0.6, MIN(1.22, _xlpm.fTa*_xlpm.fL))*_xlpm.fGQ, _xlpm.PLR_val,MIN(1, MAX(0, INPUTS!$C$23/_xlpm.Qavail)), _xlpm.fEIR,MAX(0.7, MIN(1.55, 1+_xlpm.kEIRTa*(_xlpm.Ta-_xlpm.TaRef)-_xlpm.kEIRL*(_xlpm.LWT-_xlpm.LRef))), _xlpm.fGP,MIN(1.08, 1+CALC!$C$15*_xlpm.gly), _xlpm.heMul,IF(_xlpm.opt="HE",CALC!$C$13,1), _xlpm.Pfull,_xlpm.Qavail*_xlpm.EIR0*_xlpm.fEIR*_xlpm.fGP*_xlpm.heMul, _xlpm.P_val,_xlpm.Pfull*(0.22+0.78*POWER(MAX(0.05,_xlpm.PLR_val),1.12)), _xlpm.P_val)</f>
        <v>95.573627573887379</v>
      </c>
    </row>
    <row r="42" spans="2:6" ht="19" x14ac:dyDescent="0.2">
      <c r="B42" s="29" t="s">
        <v>128</v>
      </c>
      <c r="C42" s="30">
        <f>(SUM(D17:D40) - SUM(E17:E40)) * INPUTS!C12*(INPUTS!C11/24)*INPUTS!C13</f>
        <v>2165.4047052138176</v>
      </c>
      <c r="D42" s="31" t="s">
        <v>79</v>
      </c>
      <c r="E42" s="32">
        <f>C42*INPUTS!C10</f>
        <v>7578.9164682483615</v>
      </c>
      <c r="F42" s="31" t="s">
        <v>81</v>
      </c>
    </row>
    <row r="43" spans="2:6" ht="19" x14ac:dyDescent="0.2">
      <c r="B43" s="33" t="s">
        <v>129</v>
      </c>
      <c r="C43" s="34">
        <f>(SUM(D17:D40) - SUM(F17:F40)) * INPUTS!C12*(INPUTS!C11/24)*INPUTS!C13</f>
        <v>3327.2415459047179</v>
      </c>
      <c r="D43" s="35" t="s">
        <v>79</v>
      </c>
      <c r="E43" s="36">
        <f>C43*INPUTS!C10</f>
        <v>11645.345410666512</v>
      </c>
      <c r="F43" s="35" t="s">
        <v>81</v>
      </c>
    </row>
  </sheetData>
  <mergeCells count="2">
    <mergeCell ref="B2:F3"/>
    <mergeCell ref="B14:F14"/>
  </mergeCells>
  <conditionalFormatting sqref="D17:D40">
    <cfRule type="colorScale" priority="1">
      <colorScale>
        <cfvo type="min"/>
        <cfvo type="percentile" val="50"/>
        <cfvo type="max"/>
        <color rgb="FF22C55E"/>
        <color rgb="FFFCD34D"/>
        <color rgb="FFEF4444"/>
      </colorScale>
    </cfRule>
  </conditionalFormatting>
  <pageMargins left="0.75" right="0.75" top="1" bottom="1" header="0.5" footer="0.5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C2626"/>
  </sheetPr>
  <dimension ref="B2:C14"/>
  <sheetViews>
    <sheetView showGridLines="0" workbookViewId="0">
      <pane xSplit="1" ySplit="5" topLeftCell="B6" activePane="bottomRight" state="frozen"/>
      <selection pane="topRight"/>
      <selection pane="bottomLeft"/>
      <selection pane="bottomRight"/>
    </sheetView>
  </sheetViews>
  <sheetFormatPr baseColWidth="10" defaultColWidth="8.83203125" defaultRowHeight="15" x14ac:dyDescent="0.2"/>
  <cols>
    <col min="1" max="1" width="3.33203125" customWidth="1"/>
    <col min="2" max="2" width="28" customWidth="1"/>
    <col min="3" max="3" width="70" customWidth="1"/>
    <col min="4" max="4" width="3" customWidth="1"/>
  </cols>
  <sheetData>
    <row r="2" spans="2:3" x14ac:dyDescent="0.2">
      <c r="B2" s="86" t="s">
        <v>132</v>
      </c>
      <c r="C2" s="83"/>
    </row>
    <row r="3" spans="2:3" x14ac:dyDescent="0.2">
      <c r="B3" s="83"/>
      <c r="C3" s="83"/>
    </row>
    <row r="6" spans="2:3" ht="44" customHeight="1" x14ac:dyDescent="0.2">
      <c r="B6" s="37" t="s">
        <v>133</v>
      </c>
      <c r="C6" s="15" t="s">
        <v>86</v>
      </c>
    </row>
    <row r="8" spans="2:3" ht="44" customHeight="1" x14ac:dyDescent="0.2">
      <c r="B8" s="38" t="s">
        <v>134</v>
      </c>
      <c r="C8" s="15" t="s">
        <v>87</v>
      </c>
    </row>
    <row r="10" spans="2:3" ht="44" customHeight="1" x14ac:dyDescent="0.2">
      <c r="B10" s="39" t="s">
        <v>135</v>
      </c>
      <c r="C10" s="15" t="s">
        <v>88</v>
      </c>
    </row>
    <row r="12" spans="2:3" ht="44" customHeight="1" x14ac:dyDescent="0.2">
      <c r="B12" s="40" t="s">
        <v>136</v>
      </c>
      <c r="C12" s="15" t="s">
        <v>89</v>
      </c>
    </row>
    <row r="14" spans="2:3" ht="44" customHeight="1" x14ac:dyDescent="0.2">
      <c r="B14" s="39" t="s">
        <v>137</v>
      </c>
      <c r="C14" s="15" t="s">
        <v>90</v>
      </c>
    </row>
  </sheetData>
  <mergeCells count="1">
    <mergeCell ref="B2:C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COVER</vt:lpstr>
      <vt:lpstr>INPUTS</vt:lpstr>
      <vt:lpstr>WEATHER</vt:lpstr>
      <vt:lpstr>CALC</vt:lpstr>
      <vt:lpstr>DASHBOARD</vt:lpstr>
      <vt:lpstr>METRICS</vt:lpstr>
    </vt:vector>
  </TitlesOfParts>
  <Manager>HVAC TIPS powered by wenberg.uk</Manager>
  <Company>termoloop.com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HVAC TIPS powered by wenberg.uk</dc:title>
  <dc:subject>HVAC TIPS powered by wenberg.uk</dc:subject>
  <dc:creator>HVAC TIPS powered by wenberg.uk</dc:creator>
  <cp:keywords>HVAC TIPS powered by wenberg.uk</cp:keywords>
  <dc:description/>
  <cp:lastModifiedBy>salih unal</cp:lastModifiedBy>
  <dcterms:created xsi:type="dcterms:W3CDTF">2026-02-19T13:19:00Z</dcterms:created>
  <dcterms:modified xsi:type="dcterms:W3CDTF">2026-02-21T07:27:01Z</dcterms:modified>
  <cp:category/>
</cp:coreProperties>
</file>